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6605" windowHeight="9435"/>
  </bookViews>
  <sheets>
    <sheet name="Introduction" sheetId="12" r:id="rId1"/>
    <sheet name="Monthly Costs" sheetId="1" r:id="rId2"/>
    <sheet name="RiskSerializationData" sheetId="10" state="hidden" r:id="rId3"/>
    <sheet name="Monthly Revenues" sheetId="3" r:id="rId4"/>
    <sheet name="Results and Output" sheetId="8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24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atCorrelations">'Monthly Costs'!#REF!</definedName>
    <definedName name="CatDiseaseandLengthofStay">'Monthly Costs'!#REF!</definedName>
    <definedName name="DogCorrelations">'Monthly Costs'!#REF!</definedName>
    <definedName name="DogDisLengthAdoptions">'Monthly Costs'!$C$34:$E$34</definedName>
    <definedName name="KittenCorrelations">'Monthly Costs'!#REF!</definedName>
    <definedName name="KittenDiseaseandLengthofStay">'Monthly Costs'!#REF!</definedName>
    <definedName name="Pal_Workbook_GUID" hidden="1">"AHLKHPLXA48EZ6MAGRWVCTMR"</definedName>
    <definedName name="PuppyCorrelations">'Monthly Costs'!#REF!</definedName>
    <definedName name="PuppyDiseaseandLengthofStay">'Monthly Costs'!#REF!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F27" i="1"/>
  <c r="F22" i="1"/>
  <c r="F28" i="1"/>
  <c r="H3" i="3"/>
  <c r="I3" i="3"/>
  <c r="H4" i="3"/>
  <c r="I4" i="3"/>
  <c r="H5" i="3"/>
  <c r="I5" i="3"/>
  <c r="H6" i="3"/>
  <c r="I6" i="3"/>
  <c r="I7" i="3"/>
  <c r="B3" i="3"/>
  <c r="B11" i="3"/>
  <c r="B3" i="8"/>
  <c r="I28" i="1"/>
  <c r="C30" i="1"/>
  <c r="C27" i="1"/>
  <c r="C22" i="1"/>
  <c r="C28" i="1"/>
  <c r="C32" i="1"/>
  <c r="I31" i="1"/>
  <c r="C60" i="1"/>
  <c r="C61" i="1"/>
  <c r="C57" i="1"/>
  <c r="C52" i="1"/>
  <c r="C58" i="1"/>
  <c r="C62" i="1"/>
  <c r="I32" i="1"/>
  <c r="F31" i="1"/>
  <c r="F32" i="1"/>
  <c r="I33" i="1"/>
  <c r="F60" i="1"/>
  <c r="F61" i="1"/>
  <c r="F57" i="1"/>
  <c r="F52" i="1"/>
  <c r="F58" i="1"/>
  <c r="F62" i="1"/>
  <c r="I34" i="1"/>
  <c r="J42" i="1"/>
  <c r="I12" i="1"/>
  <c r="J45" i="1"/>
  <c r="B5" i="8"/>
  <c r="B6" i="8"/>
  <c r="F51" i="8"/>
  <c r="F53" i="8"/>
  <c r="F52" i="8"/>
  <c r="E53" i="8"/>
  <c r="E52" i="8"/>
  <c r="E51" i="8"/>
  <c r="D53" i="8"/>
  <c r="D52" i="8"/>
  <c r="D51" i="8"/>
  <c r="C4" i="3"/>
  <c r="J11" i="1"/>
  <c r="J10" i="1"/>
  <c r="J9" i="1"/>
  <c r="J8" i="1"/>
  <c r="J7" i="1"/>
  <c r="J6" i="1"/>
  <c r="J5" i="1"/>
  <c r="J25" i="1"/>
  <c r="J24" i="1"/>
  <c r="J23" i="1"/>
  <c r="J22" i="1"/>
  <c r="J21" i="1"/>
  <c r="J20" i="1"/>
  <c r="J19" i="1"/>
  <c r="J18" i="1"/>
  <c r="J17" i="1"/>
  <c r="J16" i="1"/>
  <c r="J15" i="1"/>
  <c r="J27" i="1"/>
  <c r="J28" i="1"/>
  <c r="I35" i="1"/>
  <c r="I38" i="1"/>
  <c r="B36" i="8"/>
  <c r="I39" i="1"/>
  <c r="B37" i="8"/>
  <c r="I40" i="1"/>
  <c r="B38" i="8"/>
  <c r="I41" i="1"/>
  <c r="B39" i="8"/>
  <c r="B40" i="8"/>
  <c r="C7" i="3"/>
  <c r="C6" i="3"/>
  <c r="J12" i="1"/>
  <c r="H7" i="3"/>
  <c r="E18" i="8"/>
  <c r="E17" i="8"/>
  <c r="E16" i="8"/>
  <c r="E15" i="8"/>
  <c r="E14" i="8"/>
  <c r="E13" i="8"/>
  <c r="E12" i="8"/>
  <c r="AN4" i="10"/>
  <c r="AN3" i="10"/>
  <c r="AG4" i="10"/>
  <c r="A4" i="10"/>
  <c r="AG3" i="10"/>
  <c r="A3" i="10"/>
  <c r="C42" i="1"/>
  <c r="F42" i="1"/>
  <c r="F12" i="1"/>
  <c r="B11" i="8"/>
  <c r="E11" i="8"/>
  <c r="E19" i="8"/>
  <c r="B12" i="8"/>
  <c r="B13" i="8"/>
  <c r="B14" i="8"/>
  <c r="B15" i="8"/>
  <c r="C5" i="3"/>
  <c r="C9" i="3"/>
  <c r="C10" i="3"/>
  <c r="C8" i="3"/>
  <c r="C3" i="3"/>
</calcChain>
</file>

<file path=xl/sharedStrings.xml><?xml version="1.0" encoding="utf-8"?>
<sst xmlns="http://schemas.openxmlformats.org/spreadsheetml/2006/main" count="240" uniqueCount="150">
  <si>
    <t>Daily Boarding Cost</t>
  </si>
  <si>
    <t>Boarding Revenues</t>
  </si>
  <si>
    <t>Monthly Taxes</t>
  </si>
  <si>
    <t>Monthly Animal Disposal Costs</t>
  </si>
  <si>
    <t>Sponsorship Revenues</t>
  </si>
  <si>
    <t>Interest Revenues</t>
  </si>
  <si>
    <t>Female</t>
  </si>
  <si>
    <t>Male</t>
  </si>
  <si>
    <t>Food</t>
  </si>
  <si>
    <t>Health</t>
  </si>
  <si>
    <t>Monthly Revenues</t>
  </si>
  <si>
    <t>Monthly Animal Costs</t>
  </si>
  <si>
    <t>Retail Revenues</t>
  </si>
  <si>
    <t>Donations</t>
  </si>
  <si>
    <t>Payroll Monthly Salaries</t>
  </si>
  <si>
    <t xml:space="preserve">Monthly Miscellaneous Costs </t>
  </si>
  <si>
    <t>Monthly Utilities</t>
  </si>
  <si>
    <t>Monthly Management Costs</t>
  </si>
  <si>
    <t>Monthly Depreciation</t>
  </si>
  <si>
    <t>Monthly Repair/Maintenance Costs</t>
  </si>
  <si>
    <t>Monthly Donations</t>
  </si>
  <si>
    <t>Program Service Fees</t>
  </si>
  <si>
    <t xml:space="preserve"> </t>
  </si>
  <si>
    <t>Column1</t>
  </si>
  <si>
    <t>Column2</t>
  </si>
  <si>
    <t>Dog</t>
  </si>
  <si>
    <t>Puppy</t>
  </si>
  <si>
    <t>Cat</t>
  </si>
  <si>
    <t>Kitten</t>
  </si>
  <si>
    <t>Total Monthly Revenue</t>
  </si>
  <si>
    <t>Dog Adoptions</t>
  </si>
  <si>
    <t>Puppy Adoptions</t>
  </si>
  <si>
    <t>Cat Adoptions</t>
  </si>
  <si>
    <t>Kitten Adoptions</t>
  </si>
  <si>
    <t>Cost of spay</t>
  </si>
  <si>
    <t>Cost of neuter</t>
  </si>
  <si>
    <t>Bordetella</t>
  </si>
  <si>
    <t>Rabies</t>
  </si>
  <si>
    <t>Heartworm Testing</t>
  </si>
  <si>
    <t>Microchip</t>
  </si>
  <si>
    <t>Dewormer</t>
  </si>
  <si>
    <t>Blood Testing</t>
  </si>
  <si>
    <t>Revolution</t>
  </si>
  <si>
    <t>Probability of Female</t>
  </si>
  <si>
    <t>Probability of Male</t>
  </si>
  <si>
    <t>Pounds of Food/Day</t>
  </si>
  <si>
    <t>Cost of Euthanization</t>
  </si>
  <si>
    <t>Cost of Disposal</t>
  </si>
  <si>
    <t>Dog Supplies</t>
  </si>
  <si>
    <t>Cost of Food/Day</t>
  </si>
  <si>
    <t>Total Cost per Dog</t>
  </si>
  <si>
    <t>Average Days Spent</t>
  </si>
  <si>
    <t>Cat Supplies</t>
  </si>
  <si>
    <t>Total Cost per Cat</t>
  </si>
  <si>
    <t>Total Cost per Puppy</t>
  </si>
  <si>
    <t>Total Cost per Kitten</t>
  </si>
  <si>
    <t>Kitten Supplies</t>
  </si>
  <si>
    <t>Puppy Supplies</t>
  </si>
  <si>
    <t xml:space="preserve">Kitten </t>
  </si>
  <si>
    <t>Monthly Professional Costs</t>
  </si>
  <si>
    <t>Monthly Legal (Lawyer) Costs</t>
  </si>
  <si>
    <t>Monthly Accountant Costs</t>
  </si>
  <si>
    <t>Monthly Building Costs</t>
  </si>
  <si>
    <t>Monthly Insurance Costs</t>
  </si>
  <si>
    <t>Monthly Office Supply Costs</t>
  </si>
  <si>
    <t>Monthly Printing Costs</t>
  </si>
  <si>
    <t>Monthly Postage Costs</t>
  </si>
  <si>
    <t xml:space="preserve">Monthly Bank Costs </t>
  </si>
  <si>
    <t>FELV/Fiv Testing</t>
  </si>
  <si>
    <t>FELV/FIV Testing</t>
  </si>
  <si>
    <t>GF1_rK0qDwEACAC1AAwjACYAPgBTAFwAXQBpAHUAkwApAK8ALQD//wAAAAABAQEAAQQAAAAAB0dlbmVyYWwAAAABD0FwciAvIEFkb3B0aW9ucwEAAQEFAAEAAQMBAQD/AQEBAQEAAQEBAAIAAQEBAQEAAQEBAAIAAXkAAhYAD0FwciAvIEFkb3B0aW9ucwAALwECAAIAmwClAAEBAgGamZmZmZmpPwAAZmZmZmZm7j8AAAUAAQEBAA==</t>
  </si>
  <si>
    <t>&gt;75%</t>
  </si>
  <si>
    <t>&lt;25%</t>
  </si>
  <si>
    <t>&gt;90%</t>
  </si>
  <si>
    <t>GF1_rK0qDwEACADcAAwjACYAaQB8AIUAhgCSAJ4AugApANYALQD//wAAAAABAQEAAQQAAAAAMl8oJCogIywjIzAuMDBfKTtfKCQqICgjLCMjMC4wMCk7XygkKiAiLSI/P18pO18oQF8pAAAAAQ1KYW4gLyBSZXZlbnVlAQABAQUAAQABAwEBAP8BAQEBAQABAQEAAgABAQEBAQABAQEAAgABogACFAANSmFuIC8gUmV2ZW51ZQAALwECAAIAwgDMAAEBAgGamZmZmZmpPwAAZmZmZmZm7j8AAAUAAQEBAA==</t>
  </si>
  <si>
    <t>Monthly Fixed Costs</t>
  </si>
  <si>
    <t>Total Monthly Costs</t>
  </si>
  <si>
    <t>Monthly Net Income</t>
  </si>
  <si>
    <t>Dog Revenues</t>
  </si>
  <si>
    <t>Puppy Revenues</t>
  </si>
  <si>
    <t>Cat Revenues</t>
  </si>
  <si>
    <t>Kitten Revenues</t>
  </si>
  <si>
    <t>Monthly Animal Revenues</t>
  </si>
  <si>
    <t>Total Adoption Revenues</t>
  </si>
  <si>
    <t>Grants</t>
  </si>
  <si>
    <t>Retail Revenue</t>
  </si>
  <si>
    <t>Event Revenues</t>
  </si>
  <si>
    <t>Total Animal Revenues</t>
  </si>
  <si>
    <t>Total Monthly Revenues</t>
  </si>
  <si>
    <t>Dog Costs</t>
  </si>
  <si>
    <t>Puppy Costs</t>
  </si>
  <si>
    <t>Cat Costs</t>
  </si>
  <si>
    <t>Kitten Costs</t>
  </si>
  <si>
    <t>Cost of Treatment per stay</t>
  </si>
  <si>
    <t>Food Cost</t>
  </si>
  <si>
    <t>Monthly Communication Costs</t>
  </si>
  <si>
    <t xml:space="preserve">Monthly Adoption Revenue </t>
  </si>
  <si>
    <t>Feline Leukemia</t>
  </si>
  <si>
    <t>Probability Rate of Treatment</t>
  </si>
  <si>
    <t>Distemper (DA2PP4L) 2 rounds</t>
  </si>
  <si>
    <t>Blood Testing (for 6 years or older)</t>
  </si>
  <si>
    <t>Distemper (DA2PP, plus 2 rounds DA2PP4L- 3 rounds total)</t>
  </si>
  <si>
    <t>Blood Testing (for older than 6 years)</t>
  </si>
  <si>
    <t>Feline Distemper (FVRCP 2 rounds)</t>
  </si>
  <si>
    <t>Feline Distemper (FVRCP 3 rounds)</t>
  </si>
  <si>
    <t>Animal Shelter Costs and Revenues</t>
  </si>
  <si>
    <t xml:space="preserve">Purpose:  </t>
  </si>
  <si>
    <t>Acknowledgements:</t>
  </si>
  <si>
    <t xml:space="preserve">This study was supported, in part, by a grant from the Maddie’s Fund®. </t>
  </si>
  <si>
    <t>The Purdue Maddie’s Shelter Medicine Program is underwritten by a grant from Maddie’s Fund®,</t>
  </si>
  <si>
    <t>Instructions:</t>
  </si>
  <si>
    <t>Spreadsheet developed by Emily D. Lord and Dr. Nicole Olynk Widmar, Department of Agricultural Economics, Purdue University</t>
  </si>
  <si>
    <t>http://www.maddiesfund.org/Maddies_Institute/Webcasts/The_Dollars_and_Sense_of_Sheltering.html</t>
  </si>
  <si>
    <r>
      <t xml:space="preserve">Please contact Dr. Widmar at </t>
    </r>
    <r>
      <rPr>
        <sz val="12"/>
        <color theme="3"/>
        <rFont val="Calibri"/>
        <family val="2"/>
        <scheme val="minor"/>
      </rPr>
      <t xml:space="preserve">nwidmar@purdue.edu </t>
    </r>
    <r>
      <rPr>
        <sz val="12"/>
        <rFont val="Calibri"/>
        <family val="2"/>
        <scheme val="minor"/>
      </rPr>
      <t>or (765)494-2567 with questions or if you need assistance.</t>
    </r>
  </si>
  <si>
    <t>This tool, as well as enterprise budgeting, costs, and revenue streams are covered in great detail in the webinar and supporting materials available at the following link:</t>
  </si>
  <si>
    <t>The slides covered in the above webinar are available in PDF format at:</t>
  </si>
  <si>
    <t>http://www.maddiesfund.org/Documents/Institute/Dollars%20and%20Sense%20Presentation%20Handout.pdf</t>
  </si>
  <si>
    <t xml:space="preserve">This spreadsheet is designed to provide guidance in calculating expected animal shelter costs and revenues associated with the management </t>
  </si>
  <si>
    <t>of dogs, puppies, cats, and kittens.</t>
  </si>
  <si>
    <t xml:space="preserve">This spreadsheet is provided to aid animal shelter managers in assessing the costs and benefits associated with various management decisions through </t>
  </si>
  <si>
    <t xml:space="preserve">the use of enterprise budgets.  Enter your own shelter-specific values into the cells where indicated to estimate shelter revenues, costs, and shares by animal type </t>
  </si>
  <si>
    <t>The Pet Rescue Foundation (www.maddiesfund.org), helping to fund the creation of a no-kill nation.</t>
  </si>
  <si>
    <t>Assumes that the shelter operates on a per animal basis and knows the individual costs per animal</t>
  </si>
  <si>
    <t>Revenues</t>
  </si>
  <si>
    <t>Yearly Adoption Numbers</t>
  </si>
  <si>
    <t>Annual</t>
  </si>
  <si>
    <t>Monthly</t>
  </si>
  <si>
    <r>
      <t>Monthly Marketing/Promotion Costs</t>
    </r>
    <r>
      <rPr>
        <sz val="11"/>
        <color rgb="FFFF0000"/>
        <rFont val="Calibri"/>
        <family val="2"/>
        <scheme val="minor"/>
      </rPr>
      <t xml:space="preserve"> </t>
    </r>
  </si>
  <si>
    <t>Monthly Animal Variable Costs</t>
  </si>
  <si>
    <t>Yearly Animal Variable Costs</t>
  </si>
  <si>
    <t>% of Costs</t>
  </si>
  <si>
    <t>Monthly Retail Costs</t>
  </si>
  <si>
    <t>Monthly Revenues By Category</t>
  </si>
  <si>
    <t>Monthly Costs</t>
  </si>
  <si>
    <t>Monthly Operating Costs</t>
  </si>
  <si>
    <t xml:space="preserve">Total Monthly Animal Costs </t>
  </si>
  <si>
    <t>Summary of Shelter</t>
  </si>
  <si>
    <t>Monthly Transportation Costs</t>
  </si>
  <si>
    <t>% of Total Revenue</t>
  </si>
  <si>
    <t>Adoption Fee</t>
  </si>
  <si>
    <t>Number of Adoptions</t>
  </si>
  <si>
    <t>% of total costs</t>
  </si>
  <si>
    <t>Disclaimer:  The authors make no guarantees regarding</t>
  </si>
  <si>
    <t xml:space="preserve">the use of this tool.  Every effort has been taken to </t>
  </si>
  <si>
    <t>ensure correctness of formulas, but use of the tool</t>
  </si>
  <si>
    <t>for decision making purposes is at the users own risk.</t>
  </si>
  <si>
    <t>indicates a cell that the user should enter their own values</t>
  </si>
  <si>
    <t>indicates a cell that is calculated and should not be altered</t>
  </si>
  <si>
    <t>Avg Cost of Treatment Per Stay</t>
  </si>
  <si>
    <t>and/or functional area.  Starting values, which represent no particular shelter, are included;  individual shelters should replace these with their own values whenever possible.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</si>
</sst>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[$$-409]* #,##0.00_);_([$$-409]* \(#,##0.00\);_([$$-409]* &quot;-&quot;??_);_(@_)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sz val="40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9">
    <xf numFmtId="0" fontId="0" fillId="0" borderId="0" xfId="0"/>
    <xf numFmtId="44" fontId="0" fillId="0" borderId="0" xfId="0" applyNumberFormat="1"/>
    <xf numFmtId="9" fontId="0" fillId="0" borderId="0" xfId="2" applyFont="1"/>
    <xf numFmtId="0" fontId="9" fillId="0" borderId="0" xfId="0" applyFont="1"/>
    <xf numFmtId="0" fontId="10" fillId="2" borderId="0" xfId="0" applyFont="1" applyFill="1"/>
    <xf numFmtId="0" fontId="9" fillId="2" borderId="0" xfId="0" applyFont="1" applyFill="1"/>
    <xf numFmtId="0" fontId="16" fillId="0" borderId="0" xfId="0" applyFont="1" applyBorder="1"/>
    <xf numFmtId="0" fontId="16" fillId="0" borderId="1" xfId="0" applyFont="1" applyBorder="1"/>
    <xf numFmtId="0" fontId="16" fillId="0" borderId="2" xfId="0" applyFont="1" applyBorder="1"/>
    <xf numFmtId="0" fontId="18" fillId="0" borderId="1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9" fillId="0" borderId="1" xfId="3" applyFont="1" applyBorder="1"/>
    <xf numFmtId="0" fontId="1" fillId="0" borderId="1" xfId="0" applyFont="1" applyBorder="1"/>
    <xf numFmtId="0" fontId="10" fillId="2" borderId="10" xfId="0" applyFont="1" applyFill="1" applyBorder="1"/>
    <xf numFmtId="0" fontId="27" fillId="0" borderId="0" xfId="0" applyFont="1"/>
    <xf numFmtId="0" fontId="0" fillId="0" borderId="10" xfId="0" applyBorder="1"/>
    <xf numFmtId="44" fontId="0" fillId="0" borderId="11" xfId="0" applyNumberFormat="1" applyBorder="1"/>
    <xf numFmtId="44" fontId="9" fillId="3" borderId="9" xfId="0" applyNumberFormat="1" applyFont="1" applyFill="1" applyBorder="1"/>
    <xf numFmtId="0" fontId="0" fillId="0" borderId="0" xfId="0" applyAlignment="1">
      <alignment horizontal="center" wrapText="1"/>
    </xf>
    <xf numFmtId="0" fontId="1" fillId="0" borderId="0" xfId="0" applyFont="1" applyBorder="1"/>
    <xf numFmtId="0" fontId="1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" fillId="0" borderId="10" xfId="0" applyFont="1" applyBorder="1"/>
    <xf numFmtId="0" fontId="16" fillId="0" borderId="11" xfId="0" applyFont="1" applyBorder="1"/>
    <xf numFmtId="0" fontId="1" fillId="0" borderId="18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4" borderId="9" xfId="0" applyFont="1" applyFill="1" applyBorder="1"/>
    <xf numFmtId="0" fontId="16" fillId="3" borderId="21" xfId="0" applyFont="1" applyFill="1" applyBorder="1"/>
    <xf numFmtId="44" fontId="0" fillId="3" borderId="21" xfId="0" applyNumberFormat="1" applyFill="1" applyBorder="1"/>
    <xf numFmtId="44" fontId="34" fillId="3" borderId="21" xfId="0" applyNumberFormat="1" applyFont="1" applyFill="1" applyBorder="1"/>
    <xf numFmtId="44" fontId="34" fillId="3" borderId="9" xfId="0" applyNumberFormat="1" applyFont="1" applyFill="1" applyBorder="1"/>
    <xf numFmtId="9" fontId="9" fillId="3" borderId="9" xfId="2" applyFont="1" applyFill="1" applyBorder="1"/>
    <xf numFmtId="44" fontId="12" fillId="4" borderId="9" xfId="0" applyNumberFormat="1" applyFont="1" applyFill="1" applyBorder="1" applyProtection="1">
      <protection locked="0"/>
    </xf>
    <xf numFmtId="0" fontId="8" fillId="0" borderId="10" xfId="0" applyFont="1" applyBorder="1" applyProtection="1"/>
    <xf numFmtId="0" fontId="0" fillId="0" borderId="10" xfId="0" applyFont="1" applyBorder="1" applyProtection="1"/>
    <xf numFmtId="0" fontId="0" fillId="0" borderId="10" xfId="0" applyFont="1" applyFill="1" applyBorder="1" applyProtection="1"/>
    <xf numFmtId="0" fontId="5" fillId="0" borderId="10" xfId="0" applyFont="1" applyBorder="1" applyProtection="1"/>
    <xf numFmtId="0" fontId="10" fillId="2" borderId="10" xfId="0" applyFont="1" applyFill="1" applyBorder="1" applyProtection="1"/>
    <xf numFmtId="44" fontId="0" fillId="3" borderId="9" xfId="0" applyNumberFormat="1" applyFont="1" applyFill="1" applyBorder="1" applyProtection="1"/>
    <xf numFmtId="44" fontId="0" fillId="3" borderId="9" xfId="1" applyFont="1" applyFill="1" applyBorder="1" applyProtection="1"/>
    <xf numFmtId="44" fontId="34" fillId="3" borderId="11" xfId="0" applyNumberFormat="1" applyFont="1" applyFill="1" applyBorder="1" applyProtection="1"/>
    <xf numFmtId="0" fontId="29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44" fontId="0" fillId="4" borderId="9" xfId="1" applyFont="1" applyFill="1" applyBorder="1" applyProtection="1">
      <protection locked="0"/>
    </xf>
    <xf numFmtId="44" fontId="0" fillId="0" borderId="0" xfId="1" applyFont="1" applyFill="1" applyBorder="1" applyProtection="1">
      <protection locked="0"/>
    </xf>
    <xf numFmtId="0" fontId="0" fillId="4" borderId="9" xfId="0" applyFont="1" applyFill="1" applyBorder="1" applyProtection="1">
      <protection locked="0"/>
    </xf>
    <xf numFmtId="0" fontId="0" fillId="4" borderId="9" xfId="0" applyFont="1" applyFill="1" applyBorder="1" applyAlignment="1" applyProtection="1">
      <protection locked="0"/>
    </xf>
    <xf numFmtId="44" fontId="0" fillId="0" borderId="0" xfId="0" applyNumberFormat="1" applyFont="1" applyFill="1" applyBorder="1" applyProtection="1">
      <protection locked="0"/>
    </xf>
    <xf numFmtId="44" fontId="0" fillId="0" borderId="0" xfId="1" applyFont="1" applyProtection="1">
      <protection locked="0"/>
    </xf>
    <xf numFmtId="164" fontId="0" fillId="0" borderId="0" xfId="2" applyNumberFormat="1" applyFont="1" applyProtection="1">
      <protection locked="0"/>
    </xf>
    <xf numFmtId="44" fontId="12" fillId="0" borderId="0" xfId="0" applyNumberFormat="1" applyFont="1" applyFill="1" applyProtection="1">
      <protection locked="0"/>
    </xf>
    <xf numFmtId="0" fontId="12" fillId="0" borderId="0" xfId="0" applyFont="1" applyProtection="1">
      <protection locked="0"/>
    </xf>
    <xf numFmtId="44" fontId="0" fillId="4" borderId="9" xfId="2" applyNumberFormat="1" applyFont="1" applyFill="1" applyBorder="1" applyProtection="1">
      <protection locked="0"/>
    </xf>
    <xf numFmtId="44" fontId="0" fillId="0" borderId="0" xfId="2" applyNumberFormat="1" applyFont="1" applyFill="1" applyBorder="1" applyProtection="1">
      <protection locked="0"/>
    </xf>
    <xf numFmtId="9" fontId="0" fillId="4" borderId="9" xfId="2" applyFont="1" applyFill="1" applyBorder="1" applyProtection="1">
      <protection locked="0"/>
    </xf>
    <xf numFmtId="9" fontId="0" fillId="0" borderId="0" xfId="2" applyFont="1" applyFill="1" applyBorder="1" applyProtection="1">
      <protection locked="0"/>
    </xf>
    <xf numFmtId="1" fontId="3" fillId="0" borderId="0" xfId="0" applyNumberFormat="1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9" fontId="3" fillId="4" borderId="9" xfId="2" applyFont="1" applyFill="1" applyBorder="1" applyProtection="1">
      <protection locked="0"/>
    </xf>
    <xf numFmtId="8" fontId="0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9" fontId="3" fillId="0" borderId="0" xfId="2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44" fontId="0" fillId="0" borderId="0" xfId="0" applyNumberFormat="1" applyFont="1" applyProtection="1">
      <protection locked="0"/>
    </xf>
    <xf numFmtId="44" fontId="24" fillId="0" borderId="0" xfId="0" applyNumberFormat="1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44" fontId="10" fillId="0" borderId="0" xfId="1" applyFont="1" applyFill="1" applyAlignment="1" applyProtection="1">
      <alignment horizontal="center" vertical="center"/>
      <protection locked="0"/>
    </xf>
    <xf numFmtId="0" fontId="0" fillId="4" borderId="14" xfId="0" applyFont="1" applyFill="1" applyBorder="1" applyProtection="1">
      <protection locked="0"/>
    </xf>
    <xf numFmtId="0" fontId="0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32" fillId="0" borderId="10" xfId="0" applyFont="1" applyBorder="1" applyProtection="1"/>
    <xf numFmtId="44" fontId="34" fillId="3" borderId="21" xfId="1" applyFont="1" applyFill="1" applyBorder="1" applyProtection="1"/>
    <xf numFmtId="165" fontId="0" fillId="3" borderId="9" xfId="0" applyNumberFormat="1" applyFont="1" applyFill="1" applyBorder="1" applyProtection="1"/>
    <xf numFmtId="0" fontId="10" fillId="2" borderId="10" xfId="0" applyFont="1" applyFill="1" applyBorder="1" applyAlignment="1" applyProtection="1">
      <alignment horizontal="center" wrapText="1"/>
    </xf>
    <xf numFmtId="0" fontId="0" fillId="0" borderId="10" xfId="0" applyFont="1" applyBorder="1" applyAlignment="1" applyProtection="1">
      <alignment wrapText="1"/>
    </xf>
    <xf numFmtId="0" fontId="0" fillId="0" borderId="10" xfId="0" applyFont="1" applyBorder="1" applyAlignment="1" applyProtection="1"/>
    <xf numFmtId="0" fontId="0" fillId="2" borderId="10" xfId="0" applyFont="1" applyFill="1" applyBorder="1" applyAlignment="1" applyProtection="1">
      <alignment wrapText="1"/>
    </xf>
    <xf numFmtId="0" fontId="30" fillId="2" borderId="11" xfId="0" applyFont="1" applyFill="1" applyBorder="1" applyAlignment="1" applyProtection="1">
      <alignment horizontal="center" wrapText="1"/>
    </xf>
    <xf numFmtId="44" fontId="0" fillId="4" borderId="12" xfId="1" applyFont="1" applyFill="1" applyBorder="1" applyProtection="1">
      <protection locked="0"/>
    </xf>
    <xf numFmtId="164" fontId="9" fillId="3" borderId="9" xfId="2" applyNumberFormat="1" applyFont="1" applyFill="1" applyBorder="1" applyProtection="1"/>
    <xf numFmtId="164" fontId="34" fillId="3" borderId="9" xfId="2" applyNumberFormat="1" applyFont="1" applyFill="1" applyBorder="1" applyProtection="1"/>
    <xf numFmtId="44" fontId="34" fillId="3" borderId="9" xfId="1" applyFont="1" applyFill="1" applyBorder="1" applyProtection="1"/>
    <xf numFmtId="0" fontId="0" fillId="0" borderId="10" xfId="0" applyFont="1" applyFill="1" applyBorder="1" applyAlignment="1" applyProtection="1">
      <alignment wrapText="1"/>
    </xf>
    <xf numFmtId="0" fontId="33" fillId="5" borderId="11" xfId="0" applyFont="1" applyFill="1" applyBorder="1" applyAlignment="1" applyProtection="1">
      <alignment horizontal="center" wrapText="1"/>
    </xf>
    <xf numFmtId="0" fontId="0" fillId="0" borderId="0" xfId="0" applyFont="1" applyProtection="1"/>
    <xf numFmtId="0" fontId="10" fillId="2" borderId="1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10" fillId="2" borderId="11" xfId="0" applyFont="1" applyFill="1" applyBorder="1" applyAlignment="1" applyProtection="1"/>
    <xf numFmtId="0" fontId="0" fillId="2" borderId="10" xfId="0" applyFont="1" applyFill="1" applyBorder="1" applyProtection="1"/>
    <xf numFmtId="0" fontId="0" fillId="0" borderId="0" xfId="0" applyFont="1" applyFill="1" applyBorder="1" applyProtection="1"/>
    <xf numFmtId="44" fontId="11" fillId="0" borderId="0" xfId="0" applyNumberFormat="1" applyFont="1" applyFill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0" fillId="2" borderId="0" xfId="0" applyFont="1" applyFill="1" applyProtection="1"/>
    <xf numFmtId="44" fontId="10" fillId="2" borderId="0" xfId="1" applyFont="1" applyFill="1" applyBorder="1" applyAlignment="1" applyProtection="1"/>
    <xf numFmtId="0" fontId="13" fillId="2" borderId="0" xfId="0" applyFont="1" applyFill="1" applyAlignment="1" applyProtection="1">
      <alignment vertical="center"/>
    </xf>
    <xf numFmtId="44" fontId="10" fillId="2" borderId="0" xfId="1" applyFont="1" applyFill="1" applyAlignment="1" applyProtection="1">
      <alignment horizontal="center" vertical="center"/>
    </xf>
    <xf numFmtId="44" fontId="34" fillId="3" borderId="21" xfId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4" fontId="0" fillId="2" borderId="0" xfId="1" applyFont="1" applyFill="1" applyProtection="1">
      <protection locked="0"/>
    </xf>
    <xf numFmtId="44" fontId="9" fillId="4" borderId="9" xfId="1" applyFont="1" applyFill="1" applyBorder="1" applyProtection="1">
      <protection locked="0"/>
    </xf>
    <xf numFmtId="1" fontId="9" fillId="4" borderId="9" xfId="0" applyNumberFormat="1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44" fontId="9" fillId="0" borderId="0" xfId="0" applyNumberFormat="1" applyFont="1" applyFill="1" applyProtection="1">
      <protection locked="0"/>
    </xf>
    <xf numFmtId="9" fontId="0" fillId="0" borderId="0" xfId="2" applyFont="1" applyProtection="1">
      <protection locked="0"/>
    </xf>
    <xf numFmtId="9" fontId="11" fillId="2" borderId="9" xfId="2" applyFont="1" applyFill="1" applyBorder="1" applyAlignment="1" applyProtection="1">
      <alignment horizontal="center" wrapText="1"/>
    </xf>
    <xf numFmtId="9" fontId="0" fillId="3" borderId="9" xfId="2" applyFont="1" applyFill="1" applyBorder="1" applyProtection="1"/>
    <xf numFmtId="9" fontId="0" fillId="3" borderId="9" xfId="2" applyNumberFormat="1" applyFont="1" applyFill="1" applyBorder="1" applyProtection="1"/>
    <xf numFmtId="0" fontId="13" fillId="2" borderId="10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0" fillId="0" borderId="10" xfId="0" applyBorder="1" applyProtection="1"/>
    <xf numFmtId="0" fontId="9" fillId="0" borderId="10" xfId="0" applyFont="1" applyFill="1" applyBorder="1" applyProtection="1"/>
    <xf numFmtId="0" fontId="11" fillId="2" borderId="10" xfId="0" applyFont="1" applyFill="1" applyBorder="1" applyProtection="1"/>
    <xf numFmtId="0" fontId="11" fillId="2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/>
    </xf>
    <xf numFmtId="44" fontId="9" fillId="3" borderId="9" xfId="1" applyFont="1" applyFill="1" applyBorder="1" applyProtection="1"/>
    <xf numFmtId="44" fontId="9" fillId="3" borderId="9" xfId="0" applyNumberFormat="1" applyFont="1" applyFill="1" applyBorder="1" applyProtection="1"/>
    <xf numFmtId="44" fontId="34" fillId="3" borderId="0" xfId="0" applyNumberFormat="1" applyFont="1" applyFill="1" applyBorder="1" applyProtection="1"/>
    <xf numFmtId="44" fontId="0" fillId="3" borderId="12" xfId="1" applyFont="1" applyFill="1" applyBorder="1" applyProtection="1"/>
    <xf numFmtId="0" fontId="22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8" fillId="2" borderId="0" xfId="0" applyFont="1" applyFill="1" applyAlignment="1" applyProtection="1">
      <alignment horizontal="center" wrapText="1"/>
    </xf>
    <xf numFmtId="0" fontId="10" fillId="2" borderId="10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center"/>
    </xf>
    <xf numFmtId="44" fontId="0" fillId="3" borderId="12" xfId="0" applyNumberFormat="1" applyFont="1" applyFill="1" applyBorder="1" applyAlignment="1" applyProtection="1">
      <alignment horizontal="center"/>
    </xf>
    <xf numFmtId="44" fontId="0" fillId="3" borderId="13" xfId="0" applyNumberFormat="1" applyFont="1" applyFill="1" applyBorder="1" applyAlignment="1" applyProtection="1">
      <alignment horizontal="center"/>
    </xf>
    <xf numFmtId="44" fontId="10" fillId="2" borderId="0" xfId="0" applyNumberFormat="1" applyFont="1" applyFill="1" applyBorder="1" applyAlignment="1" applyProtection="1">
      <alignment horizontal="center"/>
    </xf>
    <xf numFmtId="44" fontId="10" fillId="2" borderId="11" xfId="0" applyNumberFormat="1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4" fillId="2" borderId="1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11" xfId="0" applyFont="1" applyFill="1" applyBorder="1" applyAlignment="1" applyProtection="1">
      <alignment horizontal="center"/>
    </xf>
    <xf numFmtId="44" fontId="35" fillId="3" borderId="0" xfId="1" applyFont="1" applyFill="1" applyBorder="1" applyAlignment="1" applyProtection="1">
      <alignment horizontal="center"/>
    </xf>
    <xf numFmtId="44" fontId="35" fillId="3" borderId="11" xfId="1" applyFont="1" applyFill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32"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3" builtinId="8"/>
    <cellStyle name="Normal" xfId="0" builtinId="0"/>
    <cellStyle name="Percent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>
          <fgColor indexed="64"/>
          <bgColor theme="8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>
          <fgColor indexed="64"/>
          <bgColor theme="8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>
          <fgColor indexed="64"/>
          <bgColor theme="8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auto="1"/>
        </right>
      </border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7920122484689402"/>
          <c:y val="0.154969020265909"/>
          <c:w val="0.49993088363954502"/>
          <c:h val="0.73760294307473895"/>
        </c:manualLayout>
      </c:layout>
      <c:pieChart>
        <c:varyColors val="1"/>
        <c:ser>
          <c:idx val="0"/>
          <c:order val="0"/>
          <c:tx>
            <c:strRef>
              <c:f>'Results and Output'!$A$10</c:f>
              <c:strCache>
                <c:ptCount val="1"/>
                <c:pt idx="0">
                  <c:v>Monthly Animal Revenues</c:v>
                </c:pt>
              </c:strCache>
            </c:strRef>
          </c:tx>
          <c:dLbls>
            <c:dLbl>
              <c:idx val="2"/>
              <c:layout>
                <c:manualLayout>
                  <c:x val="-6.7353469541671703E-3"/>
                  <c:y val="3.23471079272985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3710830500751506E-2"/>
                  <c:y val="3.3265940441655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'Results and Output'!$A$11:$A$14</c:f>
              <c:strCache>
                <c:ptCount val="4"/>
                <c:pt idx="0">
                  <c:v>Dog Revenues</c:v>
                </c:pt>
                <c:pt idx="1">
                  <c:v>Puppy Revenues</c:v>
                </c:pt>
                <c:pt idx="2">
                  <c:v>Cat Revenues</c:v>
                </c:pt>
                <c:pt idx="3">
                  <c:v>Kitten Revenues</c:v>
                </c:pt>
              </c:strCache>
            </c:strRef>
          </c:cat>
          <c:val>
            <c:numRef>
              <c:f>'Results and Output'!$B$11:$B$14</c:f>
              <c:numCache>
                <c:formatCode>_("$"* #,##0.00_);_("$"* \(#,##0.00\);_("$"* "-"??_);_(@_)</c:formatCode>
                <c:ptCount val="4"/>
                <c:pt idx="0">
                  <c:v>3750</c:v>
                </c:pt>
                <c:pt idx="1">
                  <c:v>1895.8333333333333</c:v>
                </c:pt>
                <c:pt idx="2">
                  <c:v>1000</c:v>
                </c:pt>
                <c:pt idx="3">
                  <c:v>2216.6666666666665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'Results and Output'!$A$35</c:f>
              <c:strCache>
                <c:ptCount val="1"/>
                <c:pt idx="0">
                  <c:v>Monthly Animal Variable Costs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'Results and Output'!$A$36:$A$40</c:f>
              <c:strCache>
                <c:ptCount val="5"/>
                <c:pt idx="0">
                  <c:v>Dog Costs</c:v>
                </c:pt>
                <c:pt idx="1">
                  <c:v>Puppy Costs</c:v>
                </c:pt>
                <c:pt idx="2">
                  <c:v>Cat Costs</c:v>
                </c:pt>
                <c:pt idx="3">
                  <c:v>Kitten Costs</c:v>
                </c:pt>
                <c:pt idx="4">
                  <c:v>Total Monthly Animal Costs </c:v>
                </c:pt>
              </c:strCache>
            </c:strRef>
          </c:cat>
          <c:val>
            <c:numRef>
              <c:f>'Results and Output'!$B$36:$B$39</c:f>
              <c:numCache>
                <c:formatCode>_("$"* #,##0.00_);_("$"* \(#,##0.00\);_("$"* "-"??_);_(@_)</c:formatCode>
                <c:ptCount val="4"/>
                <c:pt idx="0">
                  <c:v>4931.25</c:v>
                </c:pt>
                <c:pt idx="1">
                  <c:v>1308.125</c:v>
                </c:pt>
                <c:pt idx="2">
                  <c:v>2167</c:v>
                </c:pt>
                <c:pt idx="3">
                  <c:v>2207.3333333333335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Revenues by Category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'Results and Output'!$D$11:$D$18</c:f>
              <c:strCache>
                <c:ptCount val="8"/>
                <c:pt idx="0">
                  <c:v>Total Adoption Revenues</c:v>
                </c:pt>
                <c:pt idx="1">
                  <c:v>Retail Revenues</c:v>
                </c:pt>
                <c:pt idx="2">
                  <c:v>Donations</c:v>
                </c:pt>
                <c:pt idx="3">
                  <c:v>Grants</c:v>
                </c:pt>
                <c:pt idx="4">
                  <c:v>Boarding Revenues</c:v>
                </c:pt>
                <c:pt idx="5">
                  <c:v>Sponsorship Revenues</c:v>
                </c:pt>
                <c:pt idx="6">
                  <c:v>Interest Revenues</c:v>
                </c:pt>
                <c:pt idx="7">
                  <c:v>Event Revenues</c:v>
                </c:pt>
              </c:strCache>
            </c:strRef>
          </c:cat>
          <c:val>
            <c:numRef>
              <c:f>'Results and Output'!$E$11:$E$18</c:f>
              <c:numCache>
                <c:formatCode>_("$"* #,##0.00_);_("$"* \(#,##0.00\);_("$"* "-"??_);_(@_)</c:formatCode>
                <c:ptCount val="8"/>
                <c:pt idx="0">
                  <c:v>8862.5</c:v>
                </c:pt>
                <c:pt idx="1">
                  <c:v>800</c:v>
                </c:pt>
                <c:pt idx="2">
                  <c:v>5000</c:v>
                </c:pt>
                <c:pt idx="3">
                  <c:v>650</c:v>
                </c:pt>
                <c:pt idx="4">
                  <c:v>550</c:v>
                </c:pt>
                <c:pt idx="5">
                  <c:v>500</c:v>
                </c:pt>
                <c:pt idx="6">
                  <c:v>15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Costs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06290230831399"/>
          <c:y val="0.19247037562927599"/>
          <c:w val="0.59101444068540898"/>
          <c:h val="0.76444326836194598"/>
        </c:manualLayout>
      </c:layout>
      <c:pieChart>
        <c:varyColors val="1"/>
        <c:ser>
          <c:idx val="0"/>
          <c:order val="0"/>
          <c:tx>
            <c:strRef>
              <c:f>'Results and Output'!$E$50</c:f>
              <c:strCache>
                <c:ptCount val="1"/>
                <c:pt idx="0">
                  <c:v>Column1</c:v>
                </c:pt>
              </c:strCache>
            </c:strRef>
          </c:tx>
          <c:dLbls>
            <c:dLbl>
              <c:idx val="2"/>
              <c:layout>
                <c:manualLayout>
                  <c:x val="0.21280489938757699"/>
                  <c:y val="3.0693350831146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'Results and Output'!$D$51:$D$53</c:f>
              <c:strCache>
                <c:ptCount val="3"/>
                <c:pt idx="0">
                  <c:v>Monthly Management Costs</c:v>
                </c:pt>
                <c:pt idx="1">
                  <c:v>Monthly Operating Costs</c:v>
                </c:pt>
                <c:pt idx="2">
                  <c:v>Monthly Animal Variable Costs</c:v>
                </c:pt>
              </c:strCache>
            </c:strRef>
          </c:cat>
          <c:val>
            <c:numRef>
              <c:f>'Results and Output'!$E$51:$E$53</c:f>
              <c:numCache>
                <c:formatCode>_("$"* #,##0.00_);_("$"* \(#,##0.00\);_("$"* "-"??_);_(@_)</c:formatCode>
                <c:ptCount val="3"/>
                <c:pt idx="0">
                  <c:v>5125</c:v>
                </c:pt>
                <c:pt idx="1">
                  <c:v>4300</c:v>
                </c:pt>
                <c:pt idx="2">
                  <c:v>10613.708333333334</c:v>
                </c:pt>
              </c:numCache>
            </c:numRef>
          </c:val>
        </c:ser>
        <c:ser>
          <c:idx val="1"/>
          <c:order val="1"/>
          <c:tx>
            <c:strRef>
              <c:f>'Results and Output'!$F$50</c:f>
              <c:strCache>
                <c:ptCount val="1"/>
                <c:pt idx="0">
                  <c:v>% of total costs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'Results and Output'!$D$51:$D$53</c:f>
              <c:strCache>
                <c:ptCount val="3"/>
                <c:pt idx="0">
                  <c:v>Monthly Management Costs</c:v>
                </c:pt>
                <c:pt idx="1">
                  <c:v>Monthly Operating Costs</c:v>
                </c:pt>
                <c:pt idx="2">
                  <c:v>Monthly Animal Variable Costs</c:v>
                </c:pt>
              </c:strCache>
            </c:strRef>
          </c:cat>
          <c:val>
            <c:numRef>
              <c:f>'Results and Output'!$F$51:$F$53</c:f>
              <c:numCache>
                <c:formatCode>0%</c:formatCode>
                <c:ptCount val="3"/>
                <c:pt idx="0">
                  <c:v>0.2557550074959089</c:v>
                </c:pt>
                <c:pt idx="1">
                  <c:v>0.21458468921607968</c:v>
                </c:pt>
                <c:pt idx="2">
                  <c:v>0.52966030328801128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26</xdr:row>
      <xdr:rowOff>133350</xdr:rowOff>
    </xdr:from>
    <xdr:to>
      <xdr:col>7</xdr:col>
      <xdr:colOff>218598</xdr:colOff>
      <xdr:row>30</xdr:row>
      <xdr:rowOff>114201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915025"/>
          <a:ext cx="3819048" cy="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2</xdr:col>
      <xdr:colOff>355600</xdr:colOff>
      <xdr:row>33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2</xdr:col>
      <xdr:colOff>342900</xdr:colOff>
      <xdr:row>64</xdr:row>
      <xdr:rowOff>12700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444500</xdr:colOff>
      <xdr:row>19</xdr:row>
      <xdr:rowOff>171450</xdr:rowOff>
    </xdr:from>
    <xdr:to>
      <xdr:col>7</xdr:col>
      <xdr:colOff>317500</xdr:colOff>
      <xdr:row>47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793750</xdr:colOff>
      <xdr:row>53</xdr:row>
      <xdr:rowOff>63500</xdr:rowOff>
    </xdr:from>
    <xdr:to>
      <xdr:col>6</xdr:col>
      <xdr:colOff>1028700</xdr:colOff>
      <xdr:row>75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0:B15" totalsRowShown="0">
  <autoFilter ref="A10:B15"/>
  <tableColumns count="2">
    <tableColumn id="1" name="Monthly Animal Revenues" dataDxfId="7"/>
    <tableColumn id="2" name="Column1" dataDxfId="6">
      <calculatedColumnFormula>'Monthly Revenues'!I2</calculatedColumnFormula>
    </tableColumn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id="2" name="Table2" displayName="Table2" ref="D10:E19" totalsRowShown="0">
  <autoFilter ref="D10:E19"/>
  <tableColumns count="2">
    <tableColumn id="1" name="Monthly Revenues By Category" dataDxfId="5"/>
    <tableColumn id="2" name="Column2" dataDxfId="4"/>
  </tableColumns>
  <tableStyleInfo name="TableStyleLight8" showFirstColumn="0" showLastColumn="0" showRowStripes="0" showColumnStripes="0"/>
</table>
</file>

<file path=xl/tables/table3.xml><?xml version="1.0" encoding="utf-8"?>
<table xmlns="http://schemas.openxmlformats.org/spreadsheetml/2006/main" id="3" name="Table3" displayName="Table3" ref="A35:B40" totalsRowShown="0">
  <autoFilter ref="A35:B40"/>
  <tableColumns count="2">
    <tableColumn id="1" name="Monthly Animal Variable Costs" dataDxfId="3"/>
    <tableColumn id="2" name="Column1" dataDxfId="2">
      <calculatedColumnFormula>'Monthly Costs'!I38</calculatedColumnFormula>
    </tableColumn>
  </tableColumns>
  <tableStyleInfo name="TableStyleLight8" showFirstColumn="0" showLastColumn="0" showRowStripes="0" showColumnStripes="0"/>
</table>
</file>

<file path=xl/tables/table4.xml><?xml version="1.0" encoding="utf-8"?>
<table xmlns="http://schemas.openxmlformats.org/spreadsheetml/2006/main" id="6" name="Table6" displayName="Table6" ref="D50:F53" totalsRowShown="0">
  <autoFilter ref="D50:F53"/>
  <tableColumns count="3">
    <tableColumn id="1" name="Monthly Costs"/>
    <tableColumn id="2" name="Column1" dataDxfId="1"/>
    <tableColumn id="3" name="% of total costs" dataDxfId="0" dataCellStyle="Percent">
      <calculatedColumnFormula>'Monthly Costs'!I27/'Monthly Costs'!J44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ddiesfund.org/Documents/Institute/Dollars%20and%20Sense%20Presentation%20Handout.pdf" TargetMode="External"/><Relationship Id="rId1" Type="http://schemas.openxmlformats.org/officeDocument/2006/relationships/hyperlink" Target="http://www.maddiesfund.org/Maddies_Institute/Webcasts/The_Dollars_and_Sense_of_Sheltering.html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S31"/>
  <sheetViews>
    <sheetView showGridLines="0" tabSelected="1" zoomScaleSheetLayoutView="100" workbookViewId="0">
      <selection activeCell="G15" sqref="G15"/>
    </sheetView>
  </sheetViews>
  <sheetFormatPr defaultColWidth="8.85546875" defaultRowHeight="15.75" x14ac:dyDescent="0.25"/>
  <cols>
    <col min="1" max="1" width="2.42578125" style="6" customWidth="1"/>
    <col min="2" max="18" width="8.85546875" style="6"/>
    <col min="19" max="19" width="13" style="6" customWidth="1"/>
    <col min="20" max="16384" width="8.85546875" style="6"/>
  </cols>
  <sheetData>
    <row r="1" spans="2:19" ht="50.25" customHeight="1" x14ac:dyDescent="0.75">
      <c r="B1" s="134" t="s">
        <v>105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</row>
    <row r="2" spans="2:19" x14ac:dyDescent="0.25">
      <c r="B2" s="7"/>
      <c r="S2" s="8"/>
    </row>
    <row r="3" spans="2:19" x14ac:dyDescent="0.25">
      <c r="B3" s="9" t="s">
        <v>106</v>
      </c>
      <c r="S3" s="8"/>
    </row>
    <row r="4" spans="2:19" x14ac:dyDescent="0.25">
      <c r="B4" s="7" t="s">
        <v>117</v>
      </c>
      <c r="S4" s="8"/>
    </row>
    <row r="5" spans="2:19" x14ac:dyDescent="0.25">
      <c r="B5" s="7" t="s">
        <v>118</v>
      </c>
      <c r="S5" s="8"/>
    </row>
    <row r="6" spans="2:19" x14ac:dyDescent="0.25">
      <c r="B6" s="7"/>
      <c r="S6" s="8"/>
    </row>
    <row r="7" spans="2:19" x14ac:dyDescent="0.25">
      <c r="B7" s="9" t="s">
        <v>110</v>
      </c>
      <c r="S7" s="8"/>
    </row>
    <row r="8" spans="2:19" x14ac:dyDescent="0.25">
      <c r="B8" s="7" t="s">
        <v>119</v>
      </c>
      <c r="S8" s="8"/>
    </row>
    <row r="9" spans="2:19" x14ac:dyDescent="0.25">
      <c r="B9" s="7" t="s">
        <v>120</v>
      </c>
      <c r="S9" s="8"/>
    </row>
    <row r="10" spans="2:19" x14ac:dyDescent="0.25">
      <c r="B10" s="14" t="s">
        <v>149</v>
      </c>
      <c r="S10" s="8"/>
    </row>
    <row r="11" spans="2:19" x14ac:dyDescent="0.25">
      <c r="B11" s="7"/>
      <c r="D11" s="30"/>
      <c r="E11" s="21" t="s">
        <v>146</v>
      </c>
      <c r="S11" s="8"/>
    </row>
    <row r="12" spans="2:19" ht="16.5" thickBot="1" x14ac:dyDescent="0.3">
      <c r="B12" s="7"/>
      <c r="S12" s="8"/>
    </row>
    <row r="13" spans="2:19" ht="16.5" thickBot="1" x14ac:dyDescent="0.3">
      <c r="B13" s="7"/>
      <c r="D13" s="31"/>
      <c r="E13" s="21" t="s">
        <v>147</v>
      </c>
      <c r="S13" s="8"/>
    </row>
    <row r="14" spans="2:19" x14ac:dyDescent="0.25">
      <c r="B14" s="7" t="s">
        <v>114</v>
      </c>
      <c r="S14" s="8"/>
    </row>
    <row r="15" spans="2:19" x14ac:dyDescent="0.25">
      <c r="B15" s="13" t="s">
        <v>112</v>
      </c>
      <c r="S15" s="8"/>
    </row>
    <row r="16" spans="2:19" x14ac:dyDescent="0.25">
      <c r="B16" s="7"/>
      <c r="S16" s="8"/>
    </row>
    <row r="17" spans="2:19" ht="15.6" x14ac:dyDescent="0.3">
      <c r="B17" s="7" t="s">
        <v>115</v>
      </c>
      <c r="S17" s="8"/>
    </row>
    <row r="18" spans="2:19" ht="15.6" x14ac:dyDescent="0.3">
      <c r="B18" s="13" t="s">
        <v>116</v>
      </c>
      <c r="S18" s="8"/>
    </row>
    <row r="19" spans="2:19" ht="16.149999999999999" thickBot="1" x14ac:dyDescent="0.35">
      <c r="B19" s="7"/>
      <c r="S19" s="8"/>
    </row>
    <row r="20" spans="2:19" ht="15.6" x14ac:dyDescent="0.3">
      <c r="B20" s="137" t="s">
        <v>111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9"/>
    </row>
    <row r="21" spans="2:19" ht="16.149999999999999" thickBot="1" x14ac:dyDescent="0.35">
      <c r="B21" s="140" t="s">
        <v>113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2"/>
    </row>
    <row r="22" spans="2:19" ht="15.6" x14ac:dyDescent="0.3">
      <c r="B22" s="7"/>
      <c r="S22" s="8"/>
    </row>
    <row r="23" spans="2:19" ht="15.6" x14ac:dyDescent="0.3">
      <c r="B23" s="9" t="s">
        <v>107</v>
      </c>
      <c r="S23" s="8"/>
    </row>
    <row r="24" spans="2:19" x14ac:dyDescent="0.25">
      <c r="B24" s="7" t="s">
        <v>108</v>
      </c>
      <c r="S24" s="8"/>
    </row>
    <row r="25" spans="2:19" x14ac:dyDescent="0.25">
      <c r="B25" s="7" t="s">
        <v>109</v>
      </c>
      <c r="S25" s="8"/>
    </row>
    <row r="26" spans="2:19" x14ac:dyDescent="0.25">
      <c r="B26" s="14" t="s">
        <v>121</v>
      </c>
      <c r="M26" s="22" t="s">
        <v>142</v>
      </c>
      <c r="N26" s="23"/>
      <c r="O26" s="23"/>
      <c r="P26" s="23"/>
      <c r="Q26" s="23"/>
      <c r="R26" s="24"/>
      <c r="S26" s="8"/>
    </row>
    <row r="27" spans="2:19" x14ac:dyDescent="0.25">
      <c r="B27" s="7"/>
      <c r="M27" s="25" t="s">
        <v>143</v>
      </c>
      <c r="R27" s="26"/>
      <c r="S27" s="8"/>
    </row>
    <row r="28" spans="2:19" x14ac:dyDescent="0.25">
      <c r="B28" s="7"/>
      <c r="M28" s="25" t="s">
        <v>144</v>
      </c>
      <c r="R28" s="26"/>
      <c r="S28" s="8"/>
    </row>
    <row r="29" spans="2:19" x14ac:dyDescent="0.25">
      <c r="B29" s="7"/>
      <c r="M29" s="27" t="s">
        <v>145</v>
      </c>
      <c r="N29" s="28"/>
      <c r="O29" s="28"/>
      <c r="P29" s="28"/>
      <c r="Q29" s="28"/>
      <c r="R29" s="29"/>
      <c r="S29" s="8"/>
    </row>
    <row r="30" spans="2:19" x14ac:dyDescent="0.25">
      <c r="B30" s="7"/>
      <c r="S30" s="8"/>
    </row>
    <row r="31" spans="2:19" ht="16.5" thickBot="1" x14ac:dyDescent="0.3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</row>
  </sheetData>
  <sheetProtection password="DD2B" sheet="1" objects="1" scenarios="1"/>
  <mergeCells count="3">
    <mergeCell ref="B1:S1"/>
    <mergeCell ref="B20:S20"/>
    <mergeCell ref="B21:S21"/>
  </mergeCells>
  <phoneticPr fontId="31" type="noConversion"/>
  <hyperlinks>
    <hyperlink ref="B15" r:id="rId1"/>
    <hyperlink ref="B18" r:id="rId2" display="http://www.maddiesfund.org/Documents/Institute/Dollars and Sense Presentation Handout.pdf"/>
  </hyperlinks>
  <pageMargins left="0.7" right="0.7" top="0.75" bottom="0.75" header="0.3" footer="0.3"/>
  <pageSetup scale="52" orientation="portrait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showGridLines="0" zoomScale="70" zoomScaleNormal="70" workbookViewId="0">
      <selection activeCell="C12" sqref="C12"/>
    </sheetView>
  </sheetViews>
  <sheetFormatPr defaultColWidth="8.85546875" defaultRowHeight="15.95" customHeight="1" x14ac:dyDescent="0.25"/>
  <cols>
    <col min="1" max="1" width="8.85546875" style="46"/>
    <col min="2" max="2" width="34.42578125" style="46" customWidth="1"/>
    <col min="3" max="3" width="12.42578125" style="46" bestFit="1" customWidth="1"/>
    <col min="4" max="4" width="4.85546875" style="46" customWidth="1"/>
    <col min="5" max="5" width="32.42578125" style="46" customWidth="1"/>
    <col min="6" max="6" width="12.42578125" style="46" bestFit="1" customWidth="1"/>
    <col min="7" max="7" width="4.140625" style="48" customWidth="1"/>
    <col min="8" max="8" width="35.42578125" style="47" customWidth="1"/>
    <col min="9" max="9" width="16.7109375" style="46" bestFit="1" customWidth="1"/>
    <col min="10" max="10" width="17.7109375" style="46" bestFit="1" customWidth="1"/>
    <col min="11" max="11" width="30.42578125" style="46" bestFit="1" customWidth="1"/>
    <col min="12" max="12" width="16.85546875" style="46" bestFit="1" customWidth="1"/>
    <col min="13" max="16384" width="8.85546875" style="46"/>
  </cols>
  <sheetData>
    <row r="1" spans="2:10" ht="33.950000000000003" customHeight="1" x14ac:dyDescent="0.45">
      <c r="B1" s="146" t="s">
        <v>11</v>
      </c>
      <c r="C1" s="146"/>
      <c r="D1" s="146"/>
      <c r="E1" s="146"/>
      <c r="F1" s="146"/>
      <c r="G1" s="45"/>
      <c r="H1" s="143" t="s">
        <v>75</v>
      </c>
      <c r="I1" s="143"/>
      <c r="J1" s="143"/>
    </row>
    <row r="2" spans="2:10" ht="15.95" customHeight="1" x14ac:dyDescent="0.25">
      <c r="B2" s="79" t="s">
        <v>122</v>
      </c>
      <c r="C2" s="80"/>
      <c r="D2" s="80"/>
      <c r="E2" s="80"/>
      <c r="F2" s="80"/>
      <c r="I2" s="47"/>
      <c r="J2" s="47"/>
    </row>
    <row r="3" spans="2:10" ht="14.1" customHeight="1" x14ac:dyDescent="0.25">
      <c r="B3" s="47"/>
      <c r="C3" s="47"/>
      <c r="D3" s="47"/>
      <c r="E3" s="47"/>
      <c r="F3" s="47"/>
      <c r="I3" s="47"/>
      <c r="J3" s="47"/>
    </row>
    <row r="4" spans="2:10" ht="15" customHeight="1" x14ac:dyDescent="0.25">
      <c r="B4" s="144" t="s">
        <v>89</v>
      </c>
      <c r="C4" s="145"/>
      <c r="E4" s="144" t="s">
        <v>91</v>
      </c>
      <c r="F4" s="145"/>
      <c r="G4" s="49"/>
      <c r="H4" s="84" t="s">
        <v>17</v>
      </c>
      <c r="I4" s="50"/>
      <c r="J4" s="88" t="s">
        <v>130</v>
      </c>
    </row>
    <row r="5" spans="2:10" ht="15.95" customHeight="1" x14ac:dyDescent="0.25">
      <c r="B5" s="37" t="s">
        <v>6</v>
      </c>
      <c r="C5" s="51"/>
      <c r="E5" s="37" t="s">
        <v>6</v>
      </c>
      <c r="F5" s="51"/>
      <c r="G5" s="52"/>
      <c r="H5" s="85" t="s">
        <v>14</v>
      </c>
      <c r="I5" s="89">
        <v>2000</v>
      </c>
      <c r="J5" s="90">
        <f>I5/J45</f>
        <v>9.980683219352543E-2</v>
      </c>
    </row>
    <row r="6" spans="2:10" ht="15.95" customHeight="1" x14ac:dyDescent="0.25">
      <c r="B6" s="38" t="s">
        <v>34</v>
      </c>
      <c r="C6" s="53">
        <v>15</v>
      </c>
      <c r="E6" s="38" t="s">
        <v>34</v>
      </c>
      <c r="F6" s="53">
        <v>12</v>
      </c>
      <c r="G6" s="54"/>
      <c r="H6" s="85" t="s">
        <v>2</v>
      </c>
      <c r="I6" s="89">
        <v>550</v>
      </c>
      <c r="J6" s="90">
        <f>I6/J45</f>
        <v>2.7446878853219496E-2</v>
      </c>
    </row>
    <row r="7" spans="2:10" ht="15.95" customHeight="1" x14ac:dyDescent="0.25">
      <c r="B7" s="37" t="s">
        <v>7</v>
      </c>
      <c r="C7" s="51"/>
      <c r="E7" s="37" t="s">
        <v>7</v>
      </c>
      <c r="F7" s="51"/>
      <c r="G7" s="52"/>
      <c r="H7" s="85" t="s">
        <v>60</v>
      </c>
      <c r="I7" s="89">
        <v>50</v>
      </c>
      <c r="J7" s="90">
        <f>I7/J45</f>
        <v>2.4951708048381359E-3</v>
      </c>
    </row>
    <row r="8" spans="2:10" ht="15.95" customHeight="1" x14ac:dyDescent="0.25">
      <c r="B8" s="38" t="s">
        <v>35</v>
      </c>
      <c r="C8" s="53">
        <v>12</v>
      </c>
      <c r="E8" s="38" t="s">
        <v>35</v>
      </c>
      <c r="F8" s="53">
        <v>7</v>
      </c>
      <c r="G8" s="54"/>
      <c r="H8" s="85" t="s">
        <v>61</v>
      </c>
      <c r="I8" s="89">
        <v>25</v>
      </c>
      <c r="J8" s="90">
        <f>I8/J45</f>
        <v>1.247585402419068E-3</v>
      </c>
    </row>
    <row r="9" spans="2:10" ht="15.95" customHeight="1" x14ac:dyDescent="0.25">
      <c r="B9" s="37" t="s">
        <v>8</v>
      </c>
      <c r="C9" s="51"/>
      <c r="E9" s="37" t="s">
        <v>8</v>
      </c>
      <c r="F9" s="51"/>
      <c r="G9" s="52"/>
      <c r="H9" s="86" t="s">
        <v>127</v>
      </c>
      <c r="I9" s="89">
        <v>1200</v>
      </c>
      <c r="J9" s="90">
        <f>I9/J45</f>
        <v>5.9884099316115262E-2</v>
      </c>
    </row>
    <row r="10" spans="2:10" ht="15.95" customHeight="1" x14ac:dyDescent="0.25">
      <c r="B10" s="38" t="s">
        <v>45</v>
      </c>
      <c r="C10" s="55">
        <v>0.75</v>
      </c>
      <c r="E10" s="38" t="s">
        <v>45</v>
      </c>
      <c r="F10" s="56">
        <v>0.25</v>
      </c>
      <c r="G10" s="52"/>
      <c r="H10" s="85" t="s">
        <v>59</v>
      </c>
      <c r="I10" s="89">
        <v>100</v>
      </c>
      <c r="J10" s="90">
        <f>I10/J45</f>
        <v>4.9903416096762718E-3</v>
      </c>
    </row>
    <row r="11" spans="2:10" ht="15.95" customHeight="1" x14ac:dyDescent="0.25">
      <c r="B11" s="38" t="s">
        <v>49</v>
      </c>
      <c r="C11" s="53">
        <v>0.75</v>
      </c>
      <c r="E11" s="38" t="s">
        <v>49</v>
      </c>
      <c r="F11" s="53">
        <v>0.19</v>
      </c>
      <c r="G11" s="54"/>
      <c r="H11" s="85" t="s">
        <v>18</v>
      </c>
      <c r="I11" s="89">
        <v>1200</v>
      </c>
      <c r="J11" s="90">
        <f>I11/J45</f>
        <v>5.9884099316115262E-2</v>
      </c>
    </row>
    <row r="12" spans="2:10" ht="15.95" customHeight="1" x14ac:dyDescent="0.25">
      <c r="B12" s="39" t="s">
        <v>94</v>
      </c>
      <c r="C12" s="42">
        <f>C11*C31</f>
        <v>18.75</v>
      </c>
      <c r="E12" s="38" t="s">
        <v>94</v>
      </c>
      <c r="F12" s="42">
        <f>F11*F31</f>
        <v>2.85</v>
      </c>
      <c r="G12" s="57"/>
      <c r="H12" s="87"/>
      <c r="I12" s="92">
        <f>SUM(I5:I11)</f>
        <v>5125</v>
      </c>
      <c r="J12" s="91">
        <f>SUM(J5:J11)</f>
        <v>0.2557550074959089</v>
      </c>
    </row>
    <row r="13" spans="2:10" ht="15.95" customHeight="1" x14ac:dyDescent="0.25">
      <c r="B13" s="40" t="s">
        <v>9</v>
      </c>
      <c r="C13" s="51"/>
      <c r="E13" s="37" t="s">
        <v>9</v>
      </c>
      <c r="F13" s="51"/>
      <c r="G13" s="52"/>
      <c r="I13" s="58"/>
      <c r="J13" s="59"/>
    </row>
    <row r="14" spans="2:10" ht="15.95" customHeight="1" x14ac:dyDescent="0.25">
      <c r="B14" s="38" t="s">
        <v>99</v>
      </c>
      <c r="C14" s="36">
        <v>14</v>
      </c>
      <c r="E14" s="38" t="s">
        <v>97</v>
      </c>
      <c r="F14" s="36">
        <v>0</v>
      </c>
      <c r="G14" s="60"/>
      <c r="H14" s="84" t="s">
        <v>134</v>
      </c>
      <c r="I14" s="50"/>
      <c r="J14" s="94" t="s">
        <v>130</v>
      </c>
    </row>
    <row r="15" spans="2:10" ht="15.95" customHeight="1" x14ac:dyDescent="0.25">
      <c r="B15" s="38" t="s">
        <v>36</v>
      </c>
      <c r="C15" s="53">
        <v>6</v>
      </c>
      <c r="D15" s="61"/>
      <c r="E15" s="38" t="s">
        <v>103</v>
      </c>
      <c r="F15" s="53">
        <v>8</v>
      </c>
      <c r="G15" s="54"/>
      <c r="H15" s="85" t="s">
        <v>3</v>
      </c>
      <c r="I15" s="89">
        <v>100</v>
      </c>
      <c r="J15" s="90">
        <f>I15/J45</f>
        <v>4.9903416096762718E-3</v>
      </c>
    </row>
    <row r="16" spans="2:10" ht="15.95" customHeight="1" x14ac:dyDescent="0.25">
      <c r="B16" s="38" t="s">
        <v>37</v>
      </c>
      <c r="C16" s="53">
        <v>1.25</v>
      </c>
      <c r="E16" s="39" t="s">
        <v>37</v>
      </c>
      <c r="F16" s="53">
        <v>1.25</v>
      </c>
      <c r="G16" s="54"/>
      <c r="H16" s="93" t="s">
        <v>16</v>
      </c>
      <c r="I16" s="89">
        <v>900</v>
      </c>
      <c r="J16" s="90">
        <f>I16/J45</f>
        <v>4.4913074487086445E-2</v>
      </c>
    </row>
    <row r="17" spans="2:10" ht="15.95" customHeight="1" x14ac:dyDescent="0.25">
      <c r="B17" s="38" t="s">
        <v>100</v>
      </c>
      <c r="C17" s="62">
        <v>4</v>
      </c>
      <c r="E17" s="38" t="s">
        <v>102</v>
      </c>
      <c r="F17" s="62">
        <v>3</v>
      </c>
      <c r="G17" s="63"/>
      <c r="H17" s="85" t="s">
        <v>62</v>
      </c>
      <c r="I17" s="89">
        <v>200</v>
      </c>
      <c r="J17" s="90">
        <f>I17/J45</f>
        <v>9.9806832193525437E-3</v>
      </c>
    </row>
    <row r="18" spans="2:10" ht="15.95" customHeight="1" x14ac:dyDescent="0.25">
      <c r="B18" s="38" t="s">
        <v>38</v>
      </c>
      <c r="C18" s="53">
        <v>3</v>
      </c>
      <c r="E18" s="38" t="s">
        <v>68</v>
      </c>
      <c r="F18" s="53">
        <v>3</v>
      </c>
      <c r="G18" s="54"/>
      <c r="H18" s="85" t="s">
        <v>63</v>
      </c>
      <c r="I18" s="89">
        <v>350</v>
      </c>
      <c r="J18" s="90">
        <f>I18/J45</f>
        <v>1.7466195633866952E-2</v>
      </c>
    </row>
    <row r="19" spans="2:10" ht="15.95" customHeight="1" x14ac:dyDescent="0.25">
      <c r="B19" s="38" t="s">
        <v>42</v>
      </c>
      <c r="C19" s="53">
        <v>11</v>
      </c>
      <c r="E19" s="38" t="s">
        <v>42</v>
      </c>
      <c r="F19" s="53">
        <v>10</v>
      </c>
      <c r="G19" s="54"/>
      <c r="H19" s="85" t="s">
        <v>137</v>
      </c>
      <c r="I19" s="89">
        <v>350</v>
      </c>
      <c r="J19" s="90">
        <f>I19/J45</f>
        <v>1.7466195633866952E-2</v>
      </c>
    </row>
    <row r="20" spans="2:10" ht="15.95" customHeight="1" x14ac:dyDescent="0.25">
      <c r="B20" s="38" t="s">
        <v>39</v>
      </c>
      <c r="C20" s="53">
        <v>12</v>
      </c>
      <c r="E20" s="38" t="s">
        <v>39</v>
      </c>
      <c r="F20" s="53">
        <v>12</v>
      </c>
      <c r="G20" s="54"/>
      <c r="H20" s="85" t="s">
        <v>95</v>
      </c>
      <c r="I20" s="89">
        <v>50</v>
      </c>
      <c r="J20" s="90">
        <f>I20/J45</f>
        <v>2.4951708048381359E-3</v>
      </c>
    </row>
    <row r="21" spans="2:10" ht="15.95" customHeight="1" x14ac:dyDescent="0.25">
      <c r="B21" s="38" t="s">
        <v>40</v>
      </c>
      <c r="C21" s="53">
        <v>2</v>
      </c>
      <c r="E21" s="38" t="s">
        <v>40</v>
      </c>
      <c r="F21" s="53">
        <v>2</v>
      </c>
      <c r="G21" s="54"/>
      <c r="H21" s="85" t="s">
        <v>15</v>
      </c>
      <c r="I21" s="89">
        <v>100</v>
      </c>
      <c r="J21" s="90">
        <f>I21/J45</f>
        <v>4.9903416096762718E-3</v>
      </c>
    </row>
    <row r="22" spans="2:10" ht="15.95" customHeight="1" x14ac:dyDescent="0.25">
      <c r="B22" s="39" t="s">
        <v>98</v>
      </c>
      <c r="C22" s="64">
        <f>0.2</f>
        <v>0.2</v>
      </c>
      <c r="E22" s="39" t="s">
        <v>98</v>
      </c>
      <c r="F22" s="64">
        <f>0.2</f>
        <v>0.2</v>
      </c>
      <c r="G22" s="65"/>
      <c r="H22" s="85" t="s">
        <v>64</v>
      </c>
      <c r="I22" s="89">
        <v>50</v>
      </c>
      <c r="J22" s="90">
        <f>I22/J45</f>
        <v>2.4951708048381359E-3</v>
      </c>
    </row>
    <row r="23" spans="2:10" ht="15.95" customHeight="1" x14ac:dyDescent="0.25">
      <c r="B23" s="38" t="s">
        <v>46</v>
      </c>
      <c r="C23" s="53">
        <v>7</v>
      </c>
      <c r="E23" s="38" t="s">
        <v>46</v>
      </c>
      <c r="F23" s="53">
        <v>5</v>
      </c>
      <c r="G23" s="54"/>
      <c r="H23" s="85" t="s">
        <v>65</v>
      </c>
      <c r="I23" s="89">
        <v>600</v>
      </c>
      <c r="J23" s="90">
        <f>I23/J45</f>
        <v>2.9942049658057631E-2</v>
      </c>
    </row>
    <row r="24" spans="2:10" ht="15.95" customHeight="1" x14ac:dyDescent="0.25">
      <c r="B24" s="38" t="s">
        <v>47</v>
      </c>
      <c r="C24" s="53">
        <v>6</v>
      </c>
      <c r="E24" s="38" t="s">
        <v>47</v>
      </c>
      <c r="F24" s="53">
        <v>4</v>
      </c>
      <c r="G24" s="54"/>
      <c r="H24" s="85" t="s">
        <v>66</v>
      </c>
      <c r="I24" s="89">
        <v>300</v>
      </c>
      <c r="J24" s="90">
        <f>I24/J45</f>
        <v>1.4971024829028816E-2</v>
      </c>
    </row>
    <row r="25" spans="2:10" ht="15.95" customHeight="1" x14ac:dyDescent="0.25">
      <c r="B25" s="38" t="s">
        <v>0</v>
      </c>
      <c r="C25" s="53">
        <v>3.15</v>
      </c>
      <c r="E25" s="38" t="s">
        <v>0</v>
      </c>
      <c r="F25" s="53">
        <v>2.15</v>
      </c>
      <c r="G25" s="54"/>
      <c r="H25" s="85" t="s">
        <v>67</v>
      </c>
      <c r="I25" s="89">
        <v>100</v>
      </c>
      <c r="J25" s="90">
        <f>I25/J45</f>
        <v>4.9903416096762718E-3</v>
      </c>
    </row>
    <row r="26" spans="2:10" ht="15.95" customHeight="1" x14ac:dyDescent="0.3">
      <c r="B26" s="38" t="s">
        <v>48</v>
      </c>
      <c r="C26" s="53">
        <v>10</v>
      </c>
      <c r="E26" s="38" t="s">
        <v>52</v>
      </c>
      <c r="F26" s="53">
        <v>10</v>
      </c>
      <c r="G26" s="66"/>
      <c r="H26" s="85" t="s">
        <v>131</v>
      </c>
      <c r="I26" s="89">
        <v>300</v>
      </c>
      <c r="J26" s="90">
        <v>0</v>
      </c>
    </row>
    <row r="27" spans="2:10" ht="15.95" customHeight="1" x14ac:dyDescent="0.3">
      <c r="B27" s="39" t="s">
        <v>93</v>
      </c>
      <c r="C27" s="53">
        <f>50</f>
        <v>50</v>
      </c>
      <c r="E27" s="39" t="s">
        <v>93</v>
      </c>
      <c r="F27" s="53">
        <f>40</f>
        <v>40</v>
      </c>
      <c r="G27" s="54"/>
      <c r="H27" s="85" t="s">
        <v>19</v>
      </c>
      <c r="I27" s="89">
        <v>900</v>
      </c>
      <c r="J27" s="90">
        <f>I27/J45</f>
        <v>4.4913074487086445E-2</v>
      </c>
    </row>
    <row r="28" spans="2:10" ht="17.100000000000001" customHeight="1" x14ac:dyDescent="0.3">
      <c r="B28" s="38" t="s">
        <v>148</v>
      </c>
      <c r="C28" s="43">
        <f>C27*C22</f>
        <v>10</v>
      </c>
      <c r="D28" s="67"/>
      <c r="E28" s="38" t="s">
        <v>148</v>
      </c>
      <c r="F28" s="43">
        <f>F27*F22</f>
        <v>8</v>
      </c>
      <c r="G28" s="54"/>
      <c r="H28" s="84"/>
      <c r="I28" s="92">
        <f>SUM(I15:I27)</f>
        <v>4300</v>
      </c>
      <c r="J28" s="91">
        <f>I28/J45</f>
        <v>0.21458468921607968</v>
      </c>
    </row>
    <row r="29" spans="2:10" ht="15.95" customHeight="1" x14ac:dyDescent="0.3">
      <c r="B29" s="38" t="s">
        <v>43</v>
      </c>
      <c r="C29" s="68">
        <v>0.5</v>
      </c>
      <c r="D29" s="67"/>
      <c r="E29" s="38" t="s">
        <v>43</v>
      </c>
      <c r="F29" s="68">
        <v>0.5</v>
      </c>
      <c r="G29" s="69"/>
      <c r="J29" s="95"/>
    </row>
    <row r="30" spans="2:10" ht="15.95" customHeight="1" x14ac:dyDescent="0.3">
      <c r="B30" s="38" t="s">
        <v>44</v>
      </c>
      <c r="C30" s="68">
        <f>1-C29</f>
        <v>0.5</v>
      </c>
      <c r="E30" s="38" t="s">
        <v>44</v>
      </c>
      <c r="F30" s="68">
        <v>0.5</v>
      </c>
      <c r="G30" s="70"/>
      <c r="H30" s="96" t="s">
        <v>129</v>
      </c>
      <c r="I30" s="97"/>
      <c r="J30" s="98"/>
    </row>
    <row r="31" spans="2:10" ht="15.95" customHeight="1" x14ac:dyDescent="0.3">
      <c r="B31" s="39" t="s">
        <v>51</v>
      </c>
      <c r="C31" s="55">
        <v>25</v>
      </c>
      <c r="E31" s="39" t="s">
        <v>51</v>
      </c>
      <c r="F31" s="55">
        <f>15</f>
        <v>15</v>
      </c>
      <c r="G31" s="71"/>
      <c r="H31" s="38" t="s">
        <v>25</v>
      </c>
      <c r="I31" s="147">
        <f>'Monthly Costs'!C32*'Monthly Revenues'!G3</f>
        <v>59175</v>
      </c>
      <c r="J31" s="148"/>
    </row>
    <row r="32" spans="2:10" ht="15.95" customHeight="1" x14ac:dyDescent="0.3">
      <c r="B32" s="41" t="s">
        <v>50</v>
      </c>
      <c r="C32" s="44">
        <f>(C6*C29)+(C8*C30)+C14+C15+C16+C17+C18+C19+C20+C21+C23+C24+C26+(C31*C11)+(C25*C31)+C28</f>
        <v>197.25</v>
      </c>
      <c r="E32" s="41" t="s">
        <v>53</v>
      </c>
      <c r="F32" s="44">
        <f>(F6*F29)+(F8*F30)+F14+F15+F16+F29+F18+F19+F20+F21+F23+F24+F26+(F31*F11)+(F25*F31)+F28</f>
        <v>108.35</v>
      </c>
      <c r="G32" s="71"/>
      <c r="H32" s="38" t="s">
        <v>26</v>
      </c>
      <c r="I32" s="147">
        <f>C62*'Monthly Revenues'!G4</f>
        <v>15697.5</v>
      </c>
      <c r="J32" s="148"/>
    </row>
    <row r="33" spans="2:11" ht="15.95" customHeight="1" x14ac:dyDescent="0.3">
      <c r="B33" s="52"/>
      <c r="C33" s="52"/>
      <c r="D33" s="72"/>
      <c r="E33" s="67"/>
      <c r="F33" s="67"/>
      <c r="G33" s="71"/>
      <c r="H33" s="39" t="s">
        <v>27</v>
      </c>
      <c r="I33" s="147">
        <f>F32*'Monthly Revenues'!G5</f>
        <v>26004</v>
      </c>
      <c r="J33" s="148"/>
      <c r="K33" s="73"/>
    </row>
    <row r="34" spans="2:11" ht="15.95" customHeight="1" x14ac:dyDescent="0.3">
      <c r="B34" s="144" t="s">
        <v>90</v>
      </c>
      <c r="C34" s="145"/>
      <c r="E34" s="144" t="s">
        <v>92</v>
      </c>
      <c r="F34" s="145"/>
      <c r="G34" s="52"/>
      <c r="H34" s="39" t="s">
        <v>58</v>
      </c>
      <c r="I34" s="147">
        <f>F62*'Monthly Revenues'!G6</f>
        <v>26488</v>
      </c>
      <c r="J34" s="148"/>
    </row>
    <row r="35" spans="2:11" ht="18" customHeight="1" x14ac:dyDescent="0.3">
      <c r="B35" s="40" t="s">
        <v>6</v>
      </c>
      <c r="C35" s="51"/>
      <c r="E35" s="40" t="s">
        <v>6</v>
      </c>
      <c r="F35" s="51"/>
      <c r="G35" s="70"/>
      <c r="H35" s="99"/>
      <c r="I35" s="149">
        <f>SUM(I31:J34)</f>
        <v>127364.5</v>
      </c>
      <c r="J35" s="150"/>
    </row>
    <row r="36" spans="2:11" ht="20.100000000000001" customHeight="1" x14ac:dyDescent="0.45">
      <c r="B36" s="38" t="s">
        <v>34</v>
      </c>
      <c r="C36" s="53">
        <v>15</v>
      </c>
      <c r="E36" s="38" t="s">
        <v>34</v>
      </c>
      <c r="F36" s="53">
        <v>12</v>
      </c>
      <c r="G36" s="74"/>
      <c r="H36" s="100"/>
      <c r="I36" s="101"/>
      <c r="J36" s="101"/>
    </row>
    <row r="37" spans="2:11" ht="15.95" customHeight="1" x14ac:dyDescent="0.25">
      <c r="B37" s="40" t="s">
        <v>7</v>
      </c>
      <c r="C37" s="51"/>
      <c r="E37" s="40" t="s">
        <v>7</v>
      </c>
      <c r="F37" s="51"/>
      <c r="G37" s="52"/>
      <c r="H37" s="102" t="s">
        <v>128</v>
      </c>
      <c r="I37" s="103"/>
      <c r="J37" s="104"/>
    </row>
    <row r="38" spans="2:11" ht="15.95" customHeight="1" x14ac:dyDescent="0.25">
      <c r="B38" s="38" t="s">
        <v>35</v>
      </c>
      <c r="C38" s="53">
        <v>12</v>
      </c>
      <c r="E38" s="38" t="s">
        <v>35</v>
      </c>
      <c r="F38" s="53">
        <v>7</v>
      </c>
      <c r="G38" s="75"/>
      <c r="H38" s="39" t="s">
        <v>25</v>
      </c>
      <c r="I38" s="147">
        <f>I31/12</f>
        <v>4931.25</v>
      </c>
      <c r="J38" s="148"/>
    </row>
    <row r="39" spans="2:11" ht="15.95" customHeight="1" x14ac:dyDescent="0.25">
      <c r="B39" s="40" t="s">
        <v>8</v>
      </c>
      <c r="C39" s="51"/>
      <c r="E39" s="40" t="s">
        <v>8</v>
      </c>
      <c r="F39" s="51"/>
      <c r="H39" s="39" t="s">
        <v>26</v>
      </c>
      <c r="I39" s="147">
        <f>I32/12</f>
        <v>1308.125</v>
      </c>
      <c r="J39" s="148"/>
    </row>
    <row r="40" spans="2:11" ht="15.95" customHeight="1" x14ac:dyDescent="0.25">
      <c r="B40" s="38" t="s">
        <v>45</v>
      </c>
      <c r="C40" s="55">
        <v>0.5</v>
      </c>
      <c r="E40" s="38" t="s">
        <v>45</v>
      </c>
      <c r="F40" s="55">
        <v>0.25</v>
      </c>
      <c r="H40" s="39" t="s">
        <v>27</v>
      </c>
      <c r="I40" s="147">
        <f>I33/12</f>
        <v>2167</v>
      </c>
      <c r="J40" s="148"/>
    </row>
    <row r="41" spans="2:11" ht="15.95" customHeight="1" x14ac:dyDescent="0.25">
      <c r="B41" s="38" t="s">
        <v>49</v>
      </c>
      <c r="C41" s="53">
        <v>0.35</v>
      </c>
      <c r="E41" s="38" t="s">
        <v>49</v>
      </c>
      <c r="F41" s="53">
        <v>0.19</v>
      </c>
      <c r="H41" s="39" t="s">
        <v>28</v>
      </c>
      <c r="I41" s="147">
        <f>I34/12</f>
        <v>2207.3333333333335</v>
      </c>
      <c r="J41" s="148"/>
    </row>
    <row r="42" spans="2:11" ht="15.95" customHeight="1" x14ac:dyDescent="0.25">
      <c r="B42" s="38" t="s">
        <v>94</v>
      </c>
      <c r="C42" s="42">
        <f>C41*C61</f>
        <v>5.25</v>
      </c>
      <c r="E42" s="38" t="s">
        <v>94</v>
      </c>
      <c r="F42" s="42">
        <f>F41*F61</f>
        <v>2.85</v>
      </c>
      <c r="H42" s="96"/>
      <c r="I42" s="105"/>
      <c r="J42" s="106">
        <f>(SUM(I31:I34)/12)</f>
        <v>10613.708333333334</v>
      </c>
    </row>
    <row r="43" spans="2:11" ht="15.95" customHeight="1" x14ac:dyDescent="0.25">
      <c r="B43" s="40" t="s">
        <v>9</v>
      </c>
      <c r="C43" s="51"/>
      <c r="E43" s="40" t="s">
        <v>9</v>
      </c>
      <c r="F43" s="51"/>
      <c r="G43" s="52"/>
      <c r="H43" s="95"/>
      <c r="I43" s="95"/>
      <c r="J43" s="95"/>
    </row>
    <row r="44" spans="2:11" ht="15.95" customHeight="1" thickBot="1" x14ac:dyDescent="0.3">
      <c r="B44" s="81" t="s">
        <v>101</v>
      </c>
      <c r="C44" s="53">
        <v>20</v>
      </c>
      <c r="E44" s="38" t="s">
        <v>97</v>
      </c>
      <c r="F44" s="53">
        <v>0</v>
      </c>
      <c r="G44" s="52"/>
      <c r="H44" s="95"/>
      <c r="I44" s="95"/>
      <c r="J44" s="95"/>
    </row>
    <row r="45" spans="2:11" ht="15.95" customHeight="1" thickBot="1" x14ac:dyDescent="0.3">
      <c r="B45" s="38" t="s">
        <v>36</v>
      </c>
      <c r="C45" s="53">
        <v>6</v>
      </c>
      <c r="E45" s="38" t="s">
        <v>104</v>
      </c>
      <c r="F45" s="53">
        <v>12</v>
      </c>
      <c r="G45" s="52"/>
      <c r="H45" s="107" t="s">
        <v>76</v>
      </c>
      <c r="I45" s="108"/>
      <c r="J45" s="109">
        <f>SUM(I28+J42+I12)</f>
        <v>20038.708333333336</v>
      </c>
    </row>
    <row r="46" spans="2:11" ht="15.95" customHeight="1" x14ac:dyDescent="0.25">
      <c r="B46" s="38" t="s">
        <v>37</v>
      </c>
      <c r="C46" s="53">
        <v>1.25</v>
      </c>
      <c r="E46" s="39" t="s">
        <v>37</v>
      </c>
      <c r="F46" s="53">
        <v>1.25</v>
      </c>
      <c r="G46" s="52"/>
      <c r="H46" s="76"/>
      <c r="I46" s="77"/>
      <c r="J46" s="77"/>
    </row>
    <row r="47" spans="2:11" ht="15.95" customHeight="1" x14ac:dyDescent="0.25">
      <c r="B47" s="38" t="s">
        <v>41</v>
      </c>
      <c r="C47" s="53">
        <v>0</v>
      </c>
      <c r="E47" s="38" t="s">
        <v>41</v>
      </c>
      <c r="F47" s="53">
        <v>0</v>
      </c>
      <c r="G47" s="52"/>
    </row>
    <row r="48" spans="2:11" ht="15.95" customHeight="1" x14ac:dyDescent="0.25">
      <c r="B48" s="38" t="s">
        <v>38</v>
      </c>
      <c r="C48" s="53">
        <v>3</v>
      </c>
      <c r="E48" s="38" t="s">
        <v>69</v>
      </c>
      <c r="F48" s="53">
        <v>3</v>
      </c>
      <c r="G48" s="52"/>
    </row>
    <row r="49" spans="2:7" ht="15.95" customHeight="1" x14ac:dyDescent="0.25">
      <c r="B49" s="38" t="s">
        <v>42</v>
      </c>
      <c r="C49" s="53">
        <v>10</v>
      </c>
      <c r="E49" s="38" t="s">
        <v>42</v>
      </c>
      <c r="F49" s="53">
        <v>10</v>
      </c>
      <c r="G49" s="52"/>
    </row>
    <row r="50" spans="2:7" ht="15.95" customHeight="1" x14ac:dyDescent="0.25">
      <c r="B50" s="38" t="s">
        <v>39</v>
      </c>
      <c r="C50" s="53">
        <v>12</v>
      </c>
      <c r="E50" s="38" t="s">
        <v>39</v>
      </c>
      <c r="F50" s="53">
        <v>12</v>
      </c>
      <c r="G50" s="52"/>
    </row>
    <row r="51" spans="2:7" ht="15.95" customHeight="1" x14ac:dyDescent="0.25">
      <c r="B51" s="38" t="s">
        <v>40</v>
      </c>
      <c r="C51" s="53">
        <v>2</v>
      </c>
      <c r="E51" s="38" t="s">
        <v>40</v>
      </c>
      <c r="F51" s="53">
        <v>2</v>
      </c>
      <c r="G51" s="52"/>
    </row>
    <row r="52" spans="2:7" ht="15.95" customHeight="1" x14ac:dyDescent="0.25">
      <c r="B52" s="39" t="s">
        <v>98</v>
      </c>
      <c r="C52" s="64">
        <f>0.2</f>
        <v>0.2</v>
      </c>
      <c r="E52" s="39" t="s">
        <v>98</v>
      </c>
      <c r="F52" s="64">
        <f>0.2</f>
        <v>0.2</v>
      </c>
      <c r="G52" s="52"/>
    </row>
    <row r="53" spans="2:7" ht="15.95" customHeight="1" x14ac:dyDescent="0.25">
      <c r="B53" s="38" t="s">
        <v>46</v>
      </c>
      <c r="C53" s="53">
        <v>5</v>
      </c>
      <c r="E53" s="38" t="s">
        <v>46</v>
      </c>
      <c r="F53" s="53">
        <v>5</v>
      </c>
      <c r="G53" s="52"/>
    </row>
    <row r="54" spans="2:7" ht="15.95" customHeight="1" x14ac:dyDescent="0.25">
      <c r="B54" s="38" t="s">
        <v>47</v>
      </c>
      <c r="C54" s="53">
        <v>4</v>
      </c>
      <c r="E54" s="38" t="s">
        <v>47</v>
      </c>
      <c r="F54" s="53">
        <v>4</v>
      </c>
    </row>
    <row r="55" spans="2:7" ht="15.95" customHeight="1" x14ac:dyDescent="0.25">
      <c r="B55" s="38" t="s">
        <v>0</v>
      </c>
      <c r="C55" s="53">
        <v>1.25</v>
      </c>
      <c r="E55" s="38" t="s">
        <v>0</v>
      </c>
      <c r="F55" s="53">
        <v>1</v>
      </c>
    </row>
    <row r="56" spans="2:7" ht="15.95" customHeight="1" x14ac:dyDescent="0.25">
      <c r="B56" s="38" t="s">
        <v>57</v>
      </c>
      <c r="C56" s="53">
        <v>10</v>
      </c>
      <c r="E56" s="38" t="s">
        <v>56</v>
      </c>
      <c r="F56" s="53">
        <v>10</v>
      </c>
    </row>
    <row r="57" spans="2:7" ht="15.95" customHeight="1" x14ac:dyDescent="0.25">
      <c r="B57" s="38" t="s">
        <v>93</v>
      </c>
      <c r="C57" s="53">
        <f>50</f>
        <v>50</v>
      </c>
      <c r="E57" s="39" t="s">
        <v>93</v>
      </c>
      <c r="F57" s="53">
        <f>40</f>
        <v>40</v>
      </c>
    </row>
    <row r="58" spans="2:7" ht="15.95" customHeight="1" x14ac:dyDescent="0.25">
      <c r="B58" s="38" t="s">
        <v>148</v>
      </c>
      <c r="C58" s="83">
        <f>C57*C52</f>
        <v>10</v>
      </c>
      <c r="E58" s="38" t="s">
        <v>148</v>
      </c>
      <c r="F58" s="43">
        <f>F57*F52</f>
        <v>8</v>
      </c>
    </row>
    <row r="59" spans="2:7" ht="15.95" customHeight="1" x14ac:dyDescent="0.25">
      <c r="B59" s="38" t="s">
        <v>43</v>
      </c>
      <c r="C59" s="64">
        <v>0.5</v>
      </c>
      <c r="E59" s="38" t="s">
        <v>43</v>
      </c>
      <c r="F59" s="64">
        <v>0.5</v>
      </c>
    </row>
    <row r="60" spans="2:7" ht="15.95" customHeight="1" x14ac:dyDescent="0.25">
      <c r="B60" s="38" t="s">
        <v>44</v>
      </c>
      <c r="C60" s="64">
        <f>1-C59</f>
        <v>0.5</v>
      </c>
      <c r="E60" s="38" t="s">
        <v>44</v>
      </c>
      <c r="F60" s="64">
        <f>1-F59</f>
        <v>0.5</v>
      </c>
    </row>
    <row r="61" spans="2:7" ht="15.95" customHeight="1" thickBot="1" x14ac:dyDescent="0.3">
      <c r="B61" s="39" t="s">
        <v>51</v>
      </c>
      <c r="C61" s="78">
        <f>15</f>
        <v>15</v>
      </c>
      <c r="E61" s="39" t="s">
        <v>51</v>
      </c>
      <c r="F61" s="78">
        <f>15</f>
        <v>15</v>
      </c>
    </row>
    <row r="62" spans="2:7" ht="15.95" customHeight="1" thickBot="1" x14ac:dyDescent="0.3">
      <c r="B62" s="41" t="s">
        <v>54</v>
      </c>
      <c r="C62" s="82">
        <f>(C36*C59)+(C38*C60)+C44+C45+C46+C47+C48+C49+C50+C51+C53+C54+C56+(C61*C41)+(C55*C61)+C58</f>
        <v>120.75</v>
      </c>
      <c r="E62" s="41" t="s">
        <v>55</v>
      </c>
      <c r="F62" s="82">
        <f>(F36*F59)+(F38*F60)+F44+F45+F46+F47+F48+F49+F50+F51+F53+F54+F56+(F61*F41)+(F55*F61)+F58</f>
        <v>94.6</v>
      </c>
    </row>
    <row r="64" spans="2:7" ht="15.95" customHeight="1" x14ac:dyDescent="0.25">
      <c r="D64" s="67"/>
    </row>
  </sheetData>
  <sheetProtection password="DD2B" sheet="1" objects="1" scenarios="1"/>
  <mergeCells count="15">
    <mergeCell ref="I41:J41"/>
    <mergeCell ref="I35:J35"/>
    <mergeCell ref="I31:J31"/>
    <mergeCell ref="I32:J32"/>
    <mergeCell ref="I33:J33"/>
    <mergeCell ref="I34:J34"/>
    <mergeCell ref="I38:J38"/>
    <mergeCell ref="I39:J39"/>
    <mergeCell ref="I40:J40"/>
    <mergeCell ref="H1:J1"/>
    <mergeCell ref="E4:F4"/>
    <mergeCell ref="B4:C4"/>
    <mergeCell ref="B1:F1"/>
    <mergeCell ref="B34:C34"/>
    <mergeCell ref="E34:F34"/>
  </mergeCells>
  <phoneticPr fontId="7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workbookViewId="0"/>
  </sheetViews>
  <sheetFormatPr defaultColWidth="8.85546875" defaultRowHeight="15" x14ac:dyDescent="0.25"/>
  <sheetData>
    <row r="1" spans="1:40" x14ac:dyDescent="0.25">
      <c r="A1">
        <v>2</v>
      </c>
      <c r="B1">
        <v>0</v>
      </c>
    </row>
    <row r="2" spans="1:40" x14ac:dyDescent="0.25">
      <c r="A2">
        <v>0</v>
      </c>
    </row>
    <row r="3" spans="1:40" x14ac:dyDescent="0.25">
      <c r="A3">
        <f>'Monthly Revenues'!$F$13</f>
        <v>0</v>
      </c>
      <c r="B3" t="b">
        <v>1</v>
      </c>
      <c r="C3">
        <v>0</v>
      </c>
      <c r="D3">
        <v>1</v>
      </c>
      <c r="E3" t="s">
        <v>70</v>
      </c>
      <c r="F3">
        <v>1</v>
      </c>
      <c r="G3">
        <v>0</v>
      </c>
      <c r="H3">
        <v>0</v>
      </c>
      <c r="J3" t="s">
        <v>71</v>
      </c>
      <c r="K3" t="s">
        <v>72</v>
      </c>
      <c r="L3" t="s">
        <v>73</v>
      </c>
      <c r="AG3">
        <f>'Monthly Revenues'!$F$13</f>
        <v>0</v>
      </c>
      <c r="AH3">
        <v>4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0" x14ac:dyDescent="0.25">
      <c r="A4" s="1">
        <f>'Monthly Revenues'!$H$10</f>
        <v>0</v>
      </c>
      <c r="B4" t="b">
        <v>1</v>
      </c>
      <c r="C4">
        <v>0</v>
      </c>
      <c r="D4">
        <v>1</v>
      </c>
      <c r="E4" t="s">
        <v>74</v>
      </c>
      <c r="F4">
        <v>1</v>
      </c>
      <c r="G4">
        <v>0</v>
      </c>
      <c r="H4">
        <v>0</v>
      </c>
      <c r="J4" t="s">
        <v>71</v>
      </c>
      <c r="K4" t="s">
        <v>72</v>
      </c>
      <c r="L4" t="s">
        <v>73</v>
      </c>
      <c r="AG4" s="1">
        <f>'Monthly Revenues'!$H$10</f>
        <v>0</v>
      </c>
      <c r="AH4">
        <v>17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0" x14ac:dyDescent="0.25">
      <c r="A5">
        <v>0</v>
      </c>
    </row>
    <row r="6" spans="1:40" x14ac:dyDescent="0.25">
      <c r="A6" t="b">
        <v>0</v>
      </c>
      <c r="B6">
        <v>11200</v>
      </c>
      <c r="C6">
        <v>5650</v>
      </c>
      <c r="D6">
        <v>8000</v>
      </c>
      <c r="E6">
        <v>100</v>
      </c>
    </row>
    <row r="7" spans="1:40" x14ac:dyDescent="0.25">
      <c r="A7" t="b">
        <v>0</v>
      </c>
      <c r="B7">
        <v>11200</v>
      </c>
      <c r="C7">
        <v>5650</v>
      </c>
      <c r="D7">
        <v>8000</v>
      </c>
      <c r="E7">
        <v>500</v>
      </c>
    </row>
    <row r="8" spans="1:40" x14ac:dyDescent="0.25">
      <c r="A8" t="b">
        <v>0</v>
      </c>
      <c r="B8">
        <v>17805</v>
      </c>
      <c r="C8">
        <v>12180</v>
      </c>
      <c r="D8">
        <v>1395</v>
      </c>
      <c r="E8">
        <v>1000</v>
      </c>
    </row>
    <row r="9" spans="1:40" x14ac:dyDescent="0.25">
      <c r="A9" t="b">
        <v>0</v>
      </c>
      <c r="B9">
        <v>11200</v>
      </c>
      <c r="C9">
        <v>5650</v>
      </c>
      <c r="D9">
        <v>8000</v>
      </c>
      <c r="E9">
        <v>1500</v>
      </c>
    </row>
    <row r="10" spans="1:40" x14ac:dyDescent="0.25">
      <c r="A10" t="b">
        <v>0</v>
      </c>
      <c r="B10">
        <v>11200</v>
      </c>
      <c r="C10">
        <v>5650</v>
      </c>
      <c r="D10">
        <v>8000</v>
      </c>
      <c r="E10">
        <v>2000</v>
      </c>
    </row>
    <row r="11" spans="1:40" x14ac:dyDescent="0.25">
      <c r="A1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H13" sqref="H13"/>
    </sheetView>
  </sheetViews>
  <sheetFormatPr defaultColWidth="8.85546875" defaultRowHeight="15" x14ac:dyDescent="0.25"/>
  <cols>
    <col min="1" max="1" width="32.85546875" style="110" bestFit="1" customWidth="1"/>
    <col min="2" max="2" width="14.28515625" style="58" customWidth="1"/>
    <col min="3" max="3" width="11.140625" style="118" customWidth="1"/>
    <col min="4" max="4" width="8.85546875" style="110"/>
    <col min="5" max="5" width="24.42578125" style="115" customWidth="1"/>
    <col min="6" max="6" width="11.42578125" style="115" customWidth="1"/>
    <col min="7" max="7" width="10.42578125" style="115" customWidth="1"/>
    <col min="8" max="8" width="12.42578125" style="115" bestFit="1" customWidth="1"/>
    <col min="9" max="9" width="11.42578125" style="115" bestFit="1" customWidth="1"/>
    <col min="10" max="16384" width="8.85546875" style="110"/>
  </cols>
  <sheetData>
    <row r="1" spans="1:12" ht="26.25" x14ac:dyDescent="0.4">
      <c r="A1" s="151" t="s">
        <v>10</v>
      </c>
      <c r="B1" s="151"/>
      <c r="C1" s="151"/>
      <c r="E1" s="152" t="s">
        <v>124</v>
      </c>
      <c r="F1" s="153"/>
      <c r="G1" s="153"/>
      <c r="H1" s="153"/>
      <c r="I1" s="154"/>
    </row>
    <row r="2" spans="1:12" ht="45" x14ac:dyDescent="0.25">
      <c r="A2" s="123" t="s">
        <v>123</v>
      </c>
      <c r="B2" s="111"/>
      <c r="C2" s="119" t="s">
        <v>138</v>
      </c>
      <c r="E2" s="126"/>
      <c r="F2" s="127" t="s">
        <v>139</v>
      </c>
      <c r="G2" s="127" t="s">
        <v>140</v>
      </c>
      <c r="H2" s="128" t="s">
        <v>125</v>
      </c>
      <c r="I2" s="129" t="s">
        <v>126</v>
      </c>
    </row>
    <row r="3" spans="1:12" ht="15.95" customHeight="1" x14ac:dyDescent="0.25">
      <c r="A3" s="124" t="s">
        <v>96</v>
      </c>
      <c r="B3" s="133">
        <f>I7</f>
        <v>8862.5</v>
      </c>
      <c r="C3" s="120">
        <f>B3/B11</f>
        <v>0.5378546502806858</v>
      </c>
      <c r="E3" s="125" t="s">
        <v>30</v>
      </c>
      <c r="F3" s="112">
        <v>150</v>
      </c>
      <c r="G3" s="113">
        <v>300</v>
      </c>
      <c r="H3" s="130">
        <f>F3*G3</f>
        <v>45000</v>
      </c>
      <c r="I3" s="131">
        <f>H3/12</f>
        <v>3750</v>
      </c>
    </row>
    <row r="4" spans="1:12" x14ac:dyDescent="0.25">
      <c r="A4" s="124" t="s">
        <v>85</v>
      </c>
      <c r="B4" s="89">
        <v>800</v>
      </c>
      <c r="C4" s="120">
        <f>B4/B11</f>
        <v>4.8551054468214234E-2</v>
      </c>
      <c r="E4" s="125" t="s">
        <v>31</v>
      </c>
      <c r="F4" s="112">
        <v>175</v>
      </c>
      <c r="G4" s="113">
        <v>130</v>
      </c>
      <c r="H4" s="130">
        <f>F4*G4</f>
        <v>22750</v>
      </c>
      <c r="I4" s="131">
        <f>H4/12</f>
        <v>1895.8333333333333</v>
      </c>
    </row>
    <row r="5" spans="1:12" x14ac:dyDescent="0.25">
      <c r="A5" s="124" t="s">
        <v>20</v>
      </c>
      <c r="B5" s="89">
        <v>5000</v>
      </c>
      <c r="C5" s="120">
        <f>B5/B11</f>
        <v>0.30344409042633896</v>
      </c>
      <c r="E5" s="125" t="s">
        <v>32</v>
      </c>
      <c r="F5" s="112">
        <v>50</v>
      </c>
      <c r="G5" s="113">
        <v>240</v>
      </c>
      <c r="H5" s="130">
        <f>F5*G5</f>
        <v>12000</v>
      </c>
      <c r="I5" s="131">
        <f>H5/12</f>
        <v>1000</v>
      </c>
    </row>
    <row r="6" spans="1:12" x14ac:dyDescent="0.25">
      <c r="A6" s="125" t="s">
        <v>84</v>
      </c>
      <c r="B6" s="89">
        <v>650</v>
      </c>
      <c r="C6" s="120">
        <f>B6/B11</f>
        <v>3.9447731755424063E-2</v>
      </c>
      <c r="E6" s="125" t="s">
        <v>33</v>
      </c>
      <c r="F6" s="112">
        <v>95</v>
      </c>
      <c r="G6" s="113">
        <v>280</v>
      </c>
      <c r="H6" s="130">
        <f>F6*G6</f>
        <v>26600</v>
      </c>
      <c r="I6" s="131">
        <f>H6/12</f>
        <v>2216.6666666666665</v>
      </c>
    </row>
    <row r="7" spans="1:12" x14ac:dyDescent="0.25">
      <c r="A7" s="124" t="s">
        <v>1</v>
      </c>
      <c r="B7" s="89">
        <v>550</v>
      </c>
      <c r="C7" s="121">
        <f>B7/B11</f>
        <v>3.3378849946897285E-2</v>
      </c>
      <c r="E7" s="126"/>
      <c r="F7" s="114"/>
      <c r="G7" s="114"/>
      <c r="H7" s="132">
        <f>SUM(H3:H6)</f>
        <v>106350</v>
      </c>
      <c r="I7" s="44">
        <f>SUM(I3:I6)</f>
        <v>8862.5</v>
      </c>
    </row>
    <row r="8" spans="1:12" x14ac:dyDescent="0.25">
      <c r="A8" s="125" t="s">
        <v>4</v>
      </c>
      <c r="B8" s="89">
        <v>500</v>
      </c>
      <c r="C8" s="120">
        <f>B8/B11</f>
        <v>3.0344409042633896E-2</v>
      </c>
      <c r="L8" s="116"/>
    </row>
    <row r="9" spans="1:12" x14ac:dyDescent="0.25">
      <c r="A9" s="124" t="s">
        <v>5</v>
      </c>
      <c r="B9" s="89">
        <v>15</v>
      </c>
      <c r="C9" s="120">
        <f>B9/B11</f>
        <v>9.1033227127901685E-4</v>
      </c>
      <c r="E9" s="110"/>
      <c r="F9" s="110"/>
      <c r="G9" s="110"/>
      <c r="L9" s="116"/>
    </row>
    <row r="10" spans="1:12" x14ac:dyDescent="0.25">
      <c r="A10" s="124" t="s">
        <v>21</v>
      </c>
      <c r="B10" s="89">
        <v>100</v>
      </c>
      <c r="C10" s="120">
        <f>B10/B11</f>
        <v>6.0688818085267793E-3</v>
      </c>
      <c r="E10" s="110"/>
      <c r="F10" s="110"/>
      <c r="G10" s="110"/>
      <c r="H10" s="117"/>
      <c r="L10" s="116"/>
    </row>
    <row r="11" spans="1:12" ht="21" x14ac:dyDescent="0.35">
      <c r="A11" s="122" t="s">
        <v>29</v>
      </c>
      <c r="B11" s="155">
        <f>SUM(B3:B10)</f>
        <v>16477.5</v>
      </c>
      <c r="C11" s="156"/>
      <c r="H11" s="117"/>
    </row>
    <row r="12" spans="1:12" x14ac:dyDescent="0.25">
      <c r="H12" s="117"/>
    </row>
    <row r="13" spans="1:12" x14ac:dyDescent="0.25">
      <c r="H13" s="117"/>
    </row>
    <row r="14" spans="1:12" x14ac:dyDescent="0.25">
      <c r="H14" s="117"/>
    </row>
    <row r="15" spans="1:12" x14ac:dyDescent="0.25">
      <c r="B15" s="58" t="s">
        <v>22</v>
      </c>
      <c r="H15" s="117"/>
    </row>
    <row r="16" spans="1:12" ht="14.45" x14ac:dyDescent="0.3">
      <c r="H16" s="117"/>
    </row>
    <row r="17" spans="8:8" ht="14.45" x14ac:dyDescent="0.3">
      <c r="H17" s="117"/>
    </row>
    <row r="18" spans="8:8" ht="14.45" x14ac:dyDescent="0.3">
      <c r="H18" s="117"/>
    </row>
    <row r="19" spans="8:8" ht="14.45" x14ac:dyDescent="0.3">
      <c r="H19" s="117"/>
    </row>
    <row r="20" spans="8:8" ht="14.45" x14ac:dyDescent="0.3">
      <c r="H20" s="117"/>
    </row>
    <row r="21" spans="8:8" ht="14.45" x14ac:dyDescent="0.3">
      <c r="H21" s="117"/>
    </row>
    <row r="22" spans="8:8" ht="14.45" x14ac:dyDescent="0.3">
      <c r="H22" s="117"/>
    </row>
  </sheetData>
  <sheetProtection password="DD2B" sheet="1" objects="1" scenarios="1"/>
  <mergeCells count="3">
    <mergeCell ref="A1:C1"/>
    <mergeCell ref="E1:I1"/>
    <mergeCell ref="B11:C11"/>
  </mergeCells>
  <phoneticPr fontId="7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>
      <selection activeCell="D2" sqref="D2"/>
    </sheetView>
  </sheetViews>
  <sheetFormatPr defaultColWidth="8.85546875" defaultRowHeight="15" x14ac:dyDescent="0.25"/>
  <cols>
    <col min="1" max="1" width="39.42578125" customWidth="1"/>
    <col min="2" max="2" width="20.42578125" customWidth="1"/>
    <col min="3" max="3" width="10.7109375" customWidth="1"/>
    <col min="4" max="4" width="25.7109375" customWidth="1"/>
    <col min="5" max="5" width="38.85546875" customWidth="1"/>
    <col min="6" max="6" width="13.140625" customWidth="1"/>
    <col min="7" max="7" width="15.42578125" customWidth="1"/>
    <col min="9" max="9" width="21.42578125" bestFit="1" customWidth="1"/>
    <col min="10" max="10" width="21.28515625" customWidth="1"/>
    <col min="14" max="14" width="9.140625" customWidth="1"/>
  </cols>
  <sheetData>
    <row r="1" spans="1:5" x14ac:dyDescent="0.25">
      <c r="A1" s="157" t="s">
        <v>136</v>
      </c>
      <c r="B1" s="158"/>
    </row>
    <row r="2" spans="1:5" ht="15.75" thickBot="1" x14ac:dyDescent="0.3">
      <c r="A2" s="157"/>
      <c r="B2" s="158"/>
    </row>
    <row r="3" spans="1:5" ht="15.75" thickBot="1" x14ac:dyDescent="0.3">
      <c r="A3" s="17" t="s">
        <v>29</v>
      </c>
      <c r="B3" s="32">
        <f>'Monthly Revenues'!B11:C11</f>
        <v>16477.5</v>
      </c>
    </row>
    <row r="4" spans="1:5" ht="15.75" thickBot="1" x14ac:dyDescent="0.3">
      <c r="A4" s="17"/>
      <c r="B4" s="18"/>
    </row>
    <row r="5" spans="1:5" ht="15.75" thickBot="1" x14ac:dyDescent="0.3">
      <c r="A5" s="17" t="s">
        <v>76</v>
      </c>
      <c r="B5" s="32">
        <f>'Monthly Costs'!J45</f>
        <v>20038.708333333336</v>
      </c>
    </row>
    <row r="6" spans="1:5" ht="15.75" thickBot="1" x14ac:dyDescent="0.3">
      <c r="A6" s="15" t="s">
        <v>77</v>
      </c>
      <c r="B6" s="33">
        <f>B3-B5</f>
        <v>-3561.2083333333358</v>
      </c>
    </row>
    <row r="10" spans="1:5" ht="18.75" x14ac:dyDescent="0.3">
      <c r="A10" s="16" t="s">
        <v>82</v>
      </c>
      <c r="B10" s="3" t="s">
        <v>23</v>
      </c>
      <c r="D10" t="s">
        <v>132</v>
      </c>
      <c r="E10" s="5" t="s">
        <v>24</v>
      </c>
    </row>
    <row r="11" spans="1:5" ht="17.100000000000001" customHeight="1" x14ac:dyDescent="0.25">
      <c r="A11" t="s">
        <v>78</v>
      </c>
      <c r="B11" s="19">
        <f>'Monthly Revenues'!I3</f>
        <v>3750</v>
      </c>
      <c r="D11" t="s">
        <v>83</v>
      </c>
      <c r="E11" s="19">
        <f>'Monthly Revenues'!I7</f>
        <v>8862.5</v>
      </c>
    </row>
    <row r="12" spans="1:5" x14ac:dyDescent="0.25">
      <c r="A12" t="s">
        <v>79</v>
      </c>
      <c r="B12" s="19">
        <f>'Monthly Revenues'!I4</f>
        <v>1895.8333333333333</v>
      </c>
      <c r="D12" t="s">
        <v>12</v>
      </c>
      <c r="E12" s="19">
        <f>'Monthly Revenues'!B4</f>
        <v>800</v>
      </c>
    </row>
    <row r="13" spans="1:5" x14ac:dyDescent="0.25">
      <c r="A13" t="s">
        <v>80</v>
      </c>
      <c r="B13" s="19">
        <f>'Monthly Revenues'!I5</f>
        <v>1000</v>
      </c>
      <c r="D13" t="s">
        <v>13</v>
      </c>
      <c r="E13" s="19">
        <f>'Monthly Revenues'!B5</f>
        <v>5000</v>
      </c>
    </row>
    <row r="14" spans="1:5" x14ac:dyDescent="0.25">
      <c r="A14" t="s">
        <v>81</v>
      </c>
      <c r="B14" s="19">
        <f>'Monthly Revenues'!I6</f>
        <v>2216.6666666666665</v>
      </c>
      <c r="D14" t="s">
        <v>84</v>
      </c>
      <c r="E14" s="19">
        <f>'Monthly Revenues'!B6</f>
        <v>650</v>
      </c>
    </row>
    <row r="15" spans="1:5" x14ac:dyDescent="0.25">
      <c r="A15" s="4" t="s">
        <v>87</v>
      </c>
      <c r="B15" s="34">
        <f>SUM(B11:B14)</f>
        <v>8862.5</v>
      </c>
      <c r="D15" t="s">
        <v>1</v>
      </c>
      <c r="E15" s="19">
        <f>'Monthly Revenues'!B7</f>
        <v>550</v>
      </c>
    </row>
    <row r="16" spans="1:5" x14ac:dyDescent="0.25">
      <c r="D16" t="s">
        <v>4</v>
      </c>
      <c r="E16" s="19">
        <f>'Monthly Revenues'!B8</f>
        <v>500</v>
      </c>
    </row>
    <row r="17" spans="2:5" x14ac:dyDescent="0.25">
      <c r="B17" s="1"/>
      <c r="D17" t="s">
        <v>5</v>
      </c>
      <c r="E17" s="19">
        <f>'Monthly Revenues'!B9</f>
        <v>15</v>
      </c>
    </row>
    <row r="18" spans="2:5" x14ac:dyDescent="0.25">
      <c r="B18" s="1"/>
      <c r="D18" t="s">
        <v>86</v>
      </c>
      <c r="E18" s="19">
        <f>'Monthly Revenues'!B10</f>
        <v>100</v>
      </c>
    </row>
    <row r="19" spans="2:5" ht="14.45" x14ac:dyDescent="0.3">
      <c r="B19" s="1"/>
      <c r="D19" s="4" t="s">
        <v>88</v>
      </c>
      <c r="E19" s="34">
        <f>SUM(E11:E18)</f>
        <v>16477.5</v>
      </c>
    </row>
    <row r="34" spans="1:2" ht="15.95" customHeight="1" x14ac:dyDescent="0.25"/>
    <row r="35" spans="1:2" x14ac:dyDescent="0.25">
      <c r="A35" t="s">
        <v>128</v>
      </c>
      <c r="B35" s="3" t="s">
        <v>23</v>
      </c>
    </row>
    <row r="36" spans="1:2" x14ac:dyDescent="0.25">
      <c r="A36" t="s">
        <v>89</v>
      </c>
      <c r="B36" s="19">
        <f>'Monthly Costs'!I38</f>
        <v>4931.25</v>
      </c>
    </row>
    <row r="37" spans="1:2" x14ac:dyDescent="0.25">
      <c r="A37" t="s">
        <v>90</v>
      </c>
      <c r="B37" s="19">
        <f>'Monthly Costs'!I39</f>
        <v>1308.125</v>
      </c>
    </row>
    <row r="38" spans="1:2" x14ac:dyDescent="0.25">
      <c r="A38" t="s">
        <v>91</v>
      </c>
      <c r="B38" s="19">
        <f>'Monthly Costs'!I40</f>
        <v>2167</v>
      </c>
    </row>
    <row r="39" spans="1:2" ht="17.100000000000001" customHeight="1" x14ac:dyDescent="0.25">
      <c r="A39" t="s">
        <v>92</v>
      </c>
      <c r="B39" s="19">
        <f>'Monthly Costs'!I41</f>
        <v>2207.3333333333335</v>
      </c>
    </row>
    <row r="40" spans="1:2" ht="15.95" customHeight="1" x14ac:dyDescent="0.25">
      <c r="A40" s="4" t="s">
        <v>135</v>
      </c>
      <c r="B40" s="34">
        <f>'Monthly Costs'!J42</f>
        <v>10613.708333333334</v>
      </c>
    </row>
    <row r="41" spans="1:2" x14ac:dyDescent="0.25">
      <c r="B41" s="1"/>
    </row>
    <row r="50" spans="4:6" ht="30.75" x14ac:dyDescent="0.3">
      <c r="D50" s="16" t="s">
        <v>133</v>
      </c>
      <c r="E50" s="3" t="s">
        <v>23</v>
      </c>
      <c r="F50" s="20" t="s">
        <v>141</v>
      </c>
    </row>
    <row r="51" spans="4:6" ht="18.95" customHeight="1" x14ac:dyDescent="0.25">
      <c r="D51" t="str">
        <f>'Monthly Costs'!H4</f>
        <v>Monthly Management Costs</v>
      </c>
      <c r="E51" s="19">
        <f>'Monthly Costs'!I12</f>
        <v>5125</v>
      </c>
      <c r="F51" s="35">
        <f>'Monthly Costs'!I12/'Monthly Costs'!J45</f>
        <v>0.2557550074959089</v>
      </c>
    </row>
    <row r="52" spans="4:6" x14ac:dyDescent="0.25">
      <c r="D52" t="str">
        <f>'Monthly Costs'!H14</f>
        <v>Monthly Operating Costs</v>
      </c>
      <c r="E52" s="19">
        <f>'Monthly Costs'!I28</f>
        <v>4300</v>
      </c>
      <c r="F52" s="35">
        <f>'Monthly Costs'!I28/'Monthly Costs'!J45</f>
        <v>0.21458468921607968</v>
      </c>
    </row>
    <row r="53" spans="4:6" x14ac:dyDescent="0.25">
      <c r="D53" t="str">
        <f>'Monthly Costs'!H37</f>
        <v>Monthly Animal Variable Costs</v>
      </c>
      <c r="E53" s="19">
        <f>'Monthly Costs'!J42</f>
        <v>10613.708333333334</v>
      </c>
      <c r="F53" s="35">
        <f>'Monthly Costs'!J42/'Monthly Costs'!J45</f>
        <v>0.52966030328801128</v>
      </c>
    </row>
    <row r="54" spans="4:6" x14ac:dyDescent="0.25">
      <c r="F54" s="2"/>
    </row>
  </sheetData>
  <sheetProtection password="DD2B" sheet="1" objects="1" scenarios="1"/>
  <mergeCells count="1">
    <mergeCell ref="A1:B2"/>
  </mergeCells>
  <pageMargins left="0.7" right="0.7" top="0.75" bottom="0.75" header="0.3" footer="0.3"/>
  <pageSetup orientation="portrait"/>
  <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Introduction</vt:lpstr>
      <vt:lpstr>Monthly Costs</vt:lpstr>
      <vt:lpstr>RiskSerializationData</vt:lpstr>
      <vt:lpstr>Monthly Revenues</vt:lpstr>
      <vt:lpstr>Results and Output</vt:lpstr>
      <vt:lpstr>DogDisLengthAdoptions</vt:lpstr>
    </vt:vector>
  </TitlesOfParts>
  <Company>Argicultural Economics - Purdue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Lord, Emily D</dc:creator>
  <cp:lastModifiedBy>Owner</cp:lastModifiedBy>
  <cp:lastPrinted>2013-12-13T18:25:08Z</cp:lastPrinted>
  <dcterms:created xsi:type="dcterms:W3CDTF">2012-01-25T14:31:45Z</dcterms:created>
  <dcterms:modified xsi:type="dcterms:W3CDTF">2014-02-25T17:00:31Z</dcterms:modified>
</cp:coreProperties>
</file>